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frikirken.sharepoint.com/Dokumenter for Web/"/>
    </mc:Choice>
  </mc:AlternateContent>
  <xr:revisionPtr revIDLastSave="62" documentId="8_{FB4BFBAE-D492-4632-BA13-7FC2667115E2}" xr6:coauthVersionLast="47" xr6:coauthVersionMax="47" xr10:uidLastSave="{17E40633-41D3-4785-986C-B938E185BEF8}"/>
  <bookViews>
    <workbookView xWindow="-108" yWindow="-108" windowWidth="30936" windowHeight="16776" tabRatio="751" xr2:uid="{00000000-000D-0000-FFFF-FFFF00000000}"/>
  </bookViews>
  <sheets>
    <sheet name="Start" sheetId="13" r:id="rId1"/>
    <sheet name="Timer" sheetId="1" r:id="rId2"/>
    <sheet name="TrackingTime" sheetId="15" r:id="rId3"/>
  </sheets>
  <definedNames>
    <definedName name="_xlnm.Print_Titles" localSheetId="1">Timer!$14:$14</definedName>
    <definedName name="Z_8A5310C6_85D3_4EFB_A6FD_BCB4F0103349_.wvu.Cols" localSheetId="1" hidden="1">Timer!$C:$F</definedName>
    <definedName name="Z_8A5310C6_85D3_4EFB_A6FD_BCB4F0103349_.wvu.PrintTitles" localSheetId="1" hidden="1">Timer!$14:$14</definedName>
  </definedNames>
  <calcPr calcId="191028"/>
  <customWorkbookViews>
    <customWorkbookView name="Timeliste" guid="{8A5310C6-85D3-4EFB-A6FD-BCB4F0103349}" xWindow="31" yWindow="96" windowWidth="1889" windowHeight="878" tabRatio="751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3" l="1"/>
  <c r="B7" i="13"/>
  <c r="T20" i="1"/>
  <c r="T15" i="1"/>
  <c r="T645" i="1"/>
  <c r="T644" i="1"/>
  <c r="T643" i="1"/>
  <c r="T642" i="1"/>
  <c r="T641" i="1"/>
  <c r="T640" i="1"/>
  <c r="T639" i="1"/>
  <c r="T633" i="1"/>
  <c r="T632" i="1"/>
  <c r="T631" i="1"/>
  <c r="T630" i="1"/>
  <c r="T629" i="1"/>
  <c r="T628" i="1"/>
  <c r="T627" i="1"/>
  <c r="T621" i="1"/>
  <c r="T620" i="1"/>
  <c r="T619" i="1"/>
  <c r="T618" i="1"/>
  <c r="T617" i="1"/>
  <c r="T616" i="1"/>
  <c r="T615" i="1"/>
  <c r="T609" i="1"/>
  <c r="T608" i="1"/>
  <c r="T607" i="1"/>
  <c r="T606" i="1"/>
  <c r="T605" i="1"/>
  <c r="T604" i="1"/>
  <c r="T603" i="1"/>
  <c r="T597" i="1"/>
  <c r="T596" i="1"/>
  <c r="T595" i="1"/>
  <c r="T594" i="1"/>
  <c r="T593" i="1"/>
  <c r="T592" i="1"/>
  <c r="T591" i="1"/>
  <c r="T585" i="1"/>
  <c r="T584" i="1"/>
  <c r="T583" i="1"/>
  <c r="T582" i="1"/>
  <c r="T581" i="1"/>
  <c r="T580" i="1"/>
  <c r="T579" i="1"/>
  <c r="T573" i="1"/>
  <c r="T572" i="1"/>
  <c r="T571" i="1"/>
  <c r="T570" i="1"/>
  <c r="T569" i="1"/>
  <c r="T568" i="1"/>
  <c r="T567" i="1"/>
  <c r="T561" i="1"/>
  <c r="T560" i="1"/>
  <c r="T559" i="1"/>
  <c r="T558" i="1"/>
  <c r="T557" i="1"/>
  <c r="T556" i="1"/>
  <c r="T555" i="1"/>
  <c r="T549" i="1"/>
  <c r="T548" i="1"/>
  <c r="T547" i="1"/>
  <c r="T546" i="1"/>
  <c r="T545" i="1"/>
  <c r="T544" i="1"/>
  <c r="T543" i="1"/>
  <c r="T537" i="1"/>
  <c r="T536" i="1"/>
  <c r="T535" i="1"/>
  <c r="T534" i="1"/>
  <c r="T533" i="1"/>
  <c r="T532" i="1"/>
  <c r="T531" i="1"/>
  <c r="T525" i="1"/>
  <c r="T524" i="1"/>
  <c r="T523" i="1"/>
  <c r="T522" i="1"/>
  <c r="T521" i="1"/>
  <c r="T520" i="1"/>
  <c r="T519" i="1"/>
  <c r="T513" i="1"/>
  <c r="T512" i="1"/>
  <c r="T511" i="1"/>
  <c r="T510" i="1"/>
  <c r="T509" i="1"/>
  <c r="T508" i="1"/>
  <c r="T507" i="1"/>
  <c r="T501" i="1"/>
  <c r="T500" i="1"/>
  <c r="T499" i="1"/>
  <c r="T498" i="1"/>
  <c r="T497" i="1"/>
  <c r="T496" i="1"/>
  <c r="T495" i="1"/>
  <c r="T489" i="1"/>
  <c r="T488" i="1"/>
  <c r="T487" i="1"/>
  <c r="T486" i="1"/>
  <c r="T485" i="1"/>
  <c r="T484" i="1"/>
  <c r="T483" i="1"/>
  <c r="T477" i="1"/>
  <c r="T476" i="1"/>
  <c r="T475" i="1"/>
  <c r="T474" i="1"/>
  <c r="T473" i="1"/>
  <c r="T472" i="1"/>
  <c r="T471" i="1"/>
  <c r="T465" i="1"/>
  <c r="T464" i="1"/>
  <c r="T463" i="1"/>
  <c r="T462" i="1"/>
  <c r="T461" i="1"/>
  <c r="T460" i="1"/>
  <c r="T459" i="1"/>
  <c r="T453" i="1"/>
  <c r="T452" i="1"/>
  <c r="T451" i="1"/>
  <c r="T450" i="1"/>
  <c r="T449" i="1"/>
  <c r="T448" i="1"/>
  <c r="T447" i="1"/>
  <c r="T441" i="1"/>
  <c r="T440" i="1"/>
  <c r="T439" i="1"/>
  <c r="T438" i="1"/>
  <c r="T437" i="1"/>
  <c r="T436" i="1"/>
  <c r="T435" i="1"/>
  <c r="T429" i="1"/>
  <c r="T428" i="1"/>
  <c r="T427" i="1"/>
  <c r="T426" i="1"/>
  <c r="T425" i="1"/>
  <c r="T424" i="1"/>
  <c r="T423" i="1"/>
  <c r="T417" i="1"/>
  <c r="T416" i="1"/>
  <c r="T415" i="1"/>
  <c r="T414" i="1"/>
  <c r="T413" i="1"/>
  <c r="T412" i="1"/>
  <c r="T411" i="1"/>
  <c r="T405" i="1"/>
  <c r="T404" i="1"/>
  <c r="T403" i="1"/>
  <c r="T402" i="1"/>
  <c r="T401" i="1"/>
  <c r="T400" i="1"/>
  <c r="T399" i="1"/>
  <c r="T393" i="1"/>
  <c r="T392" i="1"/>
  <c r="T391" i="1"/>
  <c r="T390" i="1"/>
  <c r="T389" i="1"/>
  <c r="T388" i="1"/>
  <c r="T387" i="1"/>
  <c r="T381" i="1"/>
  <c r="T380" i="1"/>
  <c r="T379" i="1"/>
  <c r="T378" i="1"/>
  <c r="T377" i="1"/>
  <c r="T376" i="1"/>
  <c r="T375" i="1"/>
  <c r="T369" i="1"/>
  <c r="T368" i="1"/>
  <c r="T367" i="1"/>
  <c r="T366" i="1"/>
  <c r="T365" i="1"/>
  <c r="T364" i="1"/>
  <c r="T363" i="1"/>
  <c r="T357" i="1"/>
  <c r="T356" i="1"/>
  <c r="T355" i="1"/>
  <c r="T354" i="1"/>
  <c r="T353" i="1"/>
  <c r="T352" i="1"/>
  <c r="T351" i="1"/>
  <c r="T345" i="1"/>
  <c r="T344" i="1"/>
  <c r="T343" i="1"/>
  <c r="T342" i="1"/>
  <c r="T341" i="1"/>
  <c r="T340" i="1"/>
  <c r="T339" i="1"/>
  <c r="T333" i="1"/>
  <c r="T332" i="1"/>
  <c r="T331" i="1"/>
  <c r="T330" i="1"/>
  <c r="T329" i="1"/>
  <c r="T328" i="1"/>
  <c r="T327" i="1"/>
  <c r="T321" i="1"/>
  <c r="T320" i="1"/>
  <c r="T319" i="1"/>
  <c r="T318" i="1"/>
  <c r="T317" i="1"/>
  <c r="T316" i="1"/>
  <c r="T315" i="1"/>
  <c r="T309" i="1"/>
  <c r="T308" i="1"/>
  <c r="T307" i="1"/>
  <c r="T306" i="1"/>
  <c r="T305" i="1"/>
  <c r="T304" i="1"/>
  <c r="T303" i="1"/>
  <c r="T297" i="1"/>
  <c r="T296" i="1"/>
  <c r="T295" i="1"/>
  <c r="T294" i="1"/>
  <c r="T293" i="1"/>
  <c r="T292" i="1"/>
  <c r="T291" i="1"/>
  <c r="T285" i="1"/>
  <c r="T284" i="1"/>
  <c r="T283" i="1"/>
  <c r="T282" i="1"/>
  <c r="T281" i="1"/>
  <c r="T280" i="1"/>
  <c r="T279" i="1"/>
  <c r="T273" i="1"/>
  <c r="T272" i="1"/>
  <c r="T271" i="1"/>
  <c r="T270" i="1"/>
  <c r="T269" i="1"/>
  <c r="T268" i="1"/>
  <c r="T267" i="1"/>
  <c r="T261" i="1"/>
  <c r="T260" i="1"/>
  <c r="T259" i="1"/>
  <c r="T258" i="1"/>
  <c r="T257" i="1"/>
  <c r="T256" i="1"/>
  <c r="T255" i="1"/>
  <c r="T249" i="1"/>
  <c r="T248" i="1"/>
  <c r="T247" i="1"/>
  <c r="T246" i="1"/>
  <c r="T245" i="1"/>
  <c r="T244" i="1"/>
  <c r="T243" i="1"/>
  <c r="T237" i="1"/>
  <c r="T236" i="1"/>
  <c r="T235" i="1"/>
  <c r="T234" i="1"/>
  <c r="T233" i="1"/>
  <c r="T232" i="1"/>
  <c r="T231" i="1"/>
  <c r="T225" i="1"/>
  <c r="T224" i="1"/>
  <c r="T223" i="1"/>
  <c r="T222" i="1"/>
  <c r="T221" i="1"/>
  <c r="T220" i="1"/>
  <c r="T219" i="1"/>
  <c r="T213" i="1"/>
  <c r="T212" i="1"/>
  <c r="T211" i="1"/>
  <c r="T210" i="1"/>
  <c r="T209" i="1"/>
  <c r="T208" i="1"/>
  <c r="T207" i="1"/>
  <c r="T201" i="1"/>
  <c r="T200" i="1"/>
  <c r="T199" i="1"/>
  <c r="T198" i="1"/>
  <c r="T197" i="1"/>
  <c r="T196" i="1"/>
  <c r="T195" i="1"/>
  <c r="T189" i="1"/>
  <c r="T188" i="1"/>
  <c r="T187" i="1"/>
  <c r="T186" i="1"/>
  <c r="T185" i="1"/>
  <c r="T184" i="1"/>
  <c r="T183" i="1"/>
  <c r="T177" i="1"/>
  <c r="T176" i="1"/>
  <c r="T175" i="1"/>
  <c r="T174" i="1"/>
  <c r="T173" i="1"/>
  <c r="T172" i="1"/>
  <c r="T171" i="1"/>
  <c r="T165" i="1"/>
  <c r="T164" i="1"/>
  <c r="T163" i="1"/>
  <c r="T162" i="1"/>
  <c r="T161" i="1"/>
  <c r="T160" i="1"/>
  <c r="T159" i="1"/>
  <c r="T153" i="1"/>
  <c r="T152" i="1"/>
  <c r="T151" i="1"/>
  <c r="T150" i="1"/>
  <c r="T149" i="1"/>
  <c r="T148" i="1"/>
  <c r="T147" i="1"/>
  <c r="T141" i="1"/>
  <c r="T140" i="1"/>
  <c r="T139" i="1"/>
  <c r="T138" i="1"/>
  <c r="T137" i="1"/>
  <c r="T136" i="1"/>
  <c r="T135" i="1"/>
  <c r="T129" i="1"/>
  <c r="T128" i="1"/>
  <c r="T127" i="1"/>
  <c r="T126" i="1"/>
  <c r="T125" i="1"/>
  <c r="T124" i="1"/>
  <c r="T123" i="1"/>
  <c r="T117" i="1"/>
  <c r="T116" i="1"/>
  <c r="T115" i="1"/>
  <c r="T114" i="1"/>
  <c r="T113" i="1"/>
  <c r="T112" i="1"/>
  <c r="T111" i="1"/>
  <c r="T105" i="1"/>
  <c r="T104" i="1"/>
  <c r="T103" i="1"/>
  <c r="T102" i="1"/>
  <c r="T101" i="1"/>
  <c r="T100" i="1"/>
  <c r="T99" i="1"/>
  <c r="T93" i="1"/>
  <c r="T92" i="1"/>
  <c r="T91" i="1"/>
  <c r="T90" i="1"/>
  <c r="T89" i="1"/>
  <c r="T88" i="1"/>
  <c r="T87" i="1"/>
  <c r="T81" i="1"/>
  <c r="T80" i="1"/>
  <c r="T79" i="1"/>
  <c r="T78" i="1"/>
  <c r="T77" i="1"/>
  <c r="T76" i="1"/>
  <c r="T75" i="1"/>
  <c r="T69" i="1"/>
  <c r="T68" i="1"/>
  <c r="T67" i="1"/>
  <c r="T66" i="1"/>
  <c r="T65" i="1"/>
  <c r="T64" i="1"/>
  <c r="T63" i="1"/>
  <c r="T57" i="1"/>
  <c r="T56" i="1"/>
  <c r="T55" i="1"/>
  <c r="T54" i="1"/>
  <c r="T53" i="1"/>
  <c r="T52" i="1"/>
  <c r="T51" i="1"/>
  <c r="T45" i="1"/>
  <c r="T44" i="1"/>
  <c r="T43" i="1"/>
  <c r="T42" i="1"/>
  <c r="T41" i="1"/>
  <c r="T40" i="1"/>
  <c r="T39" i="1"/>
  <c r="T33" i="1"/>
  <c r="T32" i="1"/>
  <c r="T31" i="1"/>
  <c r="T30" i="1"/>
  <c r="T29" i="1"/>
  <c r="T28" i="1"/>
  <c r="T27" i="1"/>
  <c r="T21" i="1"/>
  <c r="T19" i="1"/>
  <c r="T18" i="1"/>
  <c r="T17" i="1"/>
  <c r="T16" i="1"/>
  <c r="K27" i="1"/>
  <c r="K28" i="1"/>
  <c r="K29" i="1"/>
  <c r="K30" i="1"/>
  <c r="K31" i="1"/>
  <c r="K32" i="1"/>
  <c r="K33" i="1"/>
  <c r="K39" i="1"/>
  <c r="K40" i="1"/>
  <c r="K41" i="1"/>
  <c r="K42" i="1"/>
  <c r="K43" i="1"/>
  <c r="K44" i="1"/>
  <c r="K45" i="1"/>
  <c r="K51" i="1"/>
  <c r="K52" i="1"/>
  <c r="K53" i="1"/>
  <c r="K54" i="1"/>
  <c r="K55" i="1"/>
  <c r="K56" i="1"/>
  <c r="K57" i="1"/>
  <c r="K63" i="1"/>
  <c r="K64" i="1"/>
  <c r="K65" i="1"/>
  <c r="K66" i="1"/>
  <c r="K67" i="1"/>
  <c r="K68" i="1"/>
  <c r="K69" i="1"/>
  <c r="K75" i="1"/>
  <c r="K76" i="1"/>
  <c r="K77" i="1"/>
  <c r="K78" i="1"/>
  <c r="K79" i="1"/>
  <c r="K80" i="1"/>
  <c r="K81" i="1"/>
  <c r="K87" i="1"/>
  <c r="K88" i="1"/>
  <c r="K89" i="1"/>
  <c r="K90" i="1"/>
  <c r="K91" i="1"/>
  <c r="K92" i="1"/>
  <c r="K93" i="1"/>
  <c r="K99" i="1"/>
  <c r="K100" i="1"/>
  <c r="K101" i="1"/>
  <c r="K102" i="1"/>
  <c r="K103" i="1"/>
  <c r="K104" i="1"/>
  <c r="K105" i="1"/>
  <c r="K111" i="1"/>
  <c r="K112" i="1"/>
  <c r="K113" i="1"/>
  <c r="K114" i="1"/>
  <c r="K115" i="1"/>
  <c r="K116" i="1"/>
  <c r="K117" i="1"/>
  <c r="K123" i="1"/>
  <c r="K124" i="1"/>
  <c r="K125" i="1"/>
  <c r="K126" i="1"/>
  <c r="K127" i="1"/>
  <c r="K128" i="1"/>
  <c r="K129" i="1"/>
  <c r="K135" i="1"/>
  <c r="K136" i="1"/>
  <c r="K137" i="1"/>
  <c r="K138" i="1"/>
  <c r="K139" i="1"/>
  <c r="K140" i="1"/>
  <c r="K141" i="1"/>
  <c r="K147" i="1"/>
  <c r="K148" i="1"/>
  <c r="K149" i="1"/>
  <c r="K150" i="1"/>
  <c r="K151" i="1"/>
  <c r="K152" i="1"/>
  <c r="K153" i="1"/>
  <c r="K159" i="1"/>
  <c r="K160" i="1"/>
  <c r="K161" i="1"/>
  <c r="K162" i="1"/>
  <c r="K163" i="1"/>
  <c r="K164" i="1"/>
  <c r="K165" i="1"/>
  <c r="K171" i="1"/>
  <c r="K172" i="1"/>
  <c r="K173" i="1"/>
  <c r="K174" i="1"/>
  <c r="K175" i="1"/>
  <c r="K176" i="1"/>
  <c r="K177" i="1"/>
  <c r="K183" i="1"/>
  <c r="K184" i="1"/>
  <c r="K185" i="1"/>
  <c r="K186" i="1"/>
  <c r="K187" i="1"/>
  <c r="K188" i="1"/>
  <c r="K189" i="1"/>
  <c r="K195" i="1"/>
  <c r="K196" i="1"/>
  <c r="K197" i="1"/>
  <c r="K198" i="1"/>
  <c r="K199" i="1"/>
  <c r="K200" i="1"/>
  <c r="K201" i="1"/>
  <c r="K207" i="1"/>
  <c r="K208" i="1"/>
  <c r="K209" i="1"/>
  <c r="K210" i="1"/>
  <c r="K211" i="1"/>
  <c r="K212" i="1"/>
  <c r="K213" i="1"/>
  <c r="K219" i="1"/>
  <c r="K220" i="1"/>
  <c r="K221" i="1"/>
  <c r="K222" i="1"/>
  <c r="K223" i="1"/>
  <c r="K224" i="1"/>
  <c r="K225" i="1"/>
  <c r="K231" i="1"/>
  <c r="K232" i="1"/>
  <c r="K233" i="1"/>
  <c r="K234" i="1"/>
  <c r="K235" i="1"/>
  <c r="K236" i="1"/>
  <c r="K237" i="1"/>
  <c r="K243" i="1"/>
  <c r="K244" i="1"/>
  <c r="K245" i="1"/>
  <c r="K246" i="1"/>
  <c r="K247" i="1"/>
  <c r="K248" i="1"/>
  <c r="K249" i="1"/>
  <c r="K255" i="1"/>
  <c r="K256" i="1"/>
  <c r="K257" i="1"/>
  <c r="K258" i="1"/>
  <c r="K259" i="1"/>
  <c r="K260" i="1"/>
  <c r="K261" i="1"/>
  <c r="K267" i="1"/>
  <c r="K268" i="1"/>
  <c r="K269" i="1"/>
  <c r="K270" i="1"/>
  <c r="K271" i="1"/>
  <c r="K272" i="1"/>
  <c r="K273" i="1"/>
  <c r="K279" i="1"/>
  <c r="K280" i="1"/>
  <c r="K281" i="1"/>
  <c r="K282" i="1"/>
  <c r="K283" i="1"/>
  <c r="K284" i="1"/>
  <c r="K285" i="1"/>
  <c r="K291" i="1"/>
  <c r="K292" i="1"/>
  <c r="K293" i="1"/>
  <c r="K294" i="1"/>
  <c r="K295" i="1"/>
  <c r="K296" i="1"/>
  <c r="K297" i="1"/>
  <c r="K303" i="1"/>
  <c r="K304" i="1"/>
  <c r="K305" i="1"/>
  <c r="K306" i="1"/>
  <c r="K307" i="1"/>
  <c r="K308" i="1"/>
  <c r="K309" i="1"/>
  <c r="K315" i="1"/>
  <c r="K316" i="1"/>
  <c r="K317" i="1"/>
  <c r="K318" i="1"/>
  <c r="K319" i="1"/>
  <c r="K320" i="1"/>
  <c r="K321" i="1"/>
  <c r="K327" i="1"/>
  <c r="K328" i="1"/>
  <c r="K329" i="1"/>
  <c r="K330" i="1"/>
  <c r="K331" i="1"/>
  <c r="K332" i="1"/>
  <c r="K333" i="1"/>
  <c r="K339" i="1"/>
  <c r="K340" i="1"/>
  <c r="K341" i="1"/>
  <c r="K342" i="1"/>
  <c r="K343" i="1"/>
  <c r="K344" i="1"/>
  <c r="K345" i="1"/>
  <c r="K351" i="1"/>
  <c r="K352" i="1"/>
  <c r="K353" i="1"/>
  <c r="K354" i="1"/>
  <c r="K355" i="1"/>
  <c r="K356" i="1"/>
  <c r="K357" i="1"/>
  <c r="K363" i="1"/>
  <c r="K364" i="1"/>
  <c r="K365" i="1"/>
  <c r="K366" i="1"/>
  <c r="K367" i="1"/>
  <c r="K368" i="1"/>
  <c r="K369" i="1"/>
  <c r="K375" i="1"/>
  <c r="K376" i="1"/>
  <c r="K377" i="1"/>
  <c r="K378" i="1"/>
  <c r="K379" i="1"/>
  <c r="K380" i="1"/>
  <c r="K381" i="1"/>
  <c r="K387" i="1"/>
  <c r="K388" i="1"/>
  <c r="K389" i="1"/>
  <c r="K390" i="1"/>
  <c r="K391" i="1"/>
  <c r="K392" i="1"/>
  <c r="K393" i="1"/>
  <c r="K399" i="1"/>
  <c r="K400" i="1"/>
  <c r="K401" i="1"/>
  <c r="K402" i="1"/>
  <c r="K403" i="1"/>
  <c r="K404" i="1"/>
  <c r="K405" i="1"/>
  <c r="K411" i="1"/>
  <c r="K412" i="1"/>
  <c r="K413" i="1"/>
  <c r="K414" i="1"/>
  <c r="K415" i="1"/>
  <c r="K416" i="1"/>
  <c r="K417" i="1"/>
  <c r="K423" i="1"/>
  <c r="K424" i="1"/>
  <c r="K425" i="1"/>
  <c r="K426" i="1"/>
  <c r="K427" i="1"/>
  <c r="K428" i="1"/>
  <c r="K429" i="1"/>
  <c r="K435" i="1"/>
  <c r="K436" i="1"/>
  <c r="K437" i="1"/>
  <c r="K438" i="1"/>
  <c r="K439" i="1"/>
  <c r="K440" i="1"/>
  <c r="K441" i="1"/>
  <c r="K447" i="1"/>
  <c r="K448" i="1"/>
  <c r="K449" i="1"/>
  <c r="K450" i="1"/>
  <c r="K451" i="1"/>
  <c r="K452" i="1"/>
  <c r="K453" i="1"/>
  <c r="K459" i="1"/>
  <c r="K460" i="1"/>
  <c r="K461" i="1"/>
  <c r="K462" i="1"/>
  <c r="K463" i="1"/>
  <c r="K464" i="1"/>
  <c r="K465" i="1"/>
  <c r="K471" i="1"/>
  <c r="K472" i="1"/>
  <c r="K473" i="1"/>
  <c r="K474" i="1"/>
  <c r="K475" i="1"/>
  <c r="K476" i="1"/>
  <c r="K477" i="1"/>
  <c r="K483" i="1"/>
  <c r="K484" i="1"/>
  <c r="K485" i="1"/>
  <c r="K486" i="1"/>
  <c r="K487" i="1"/>
  <c r="K488" i="1"/>
  <c r="K489" i="1"/>
  <c r="K495" i="1"/>
  <c r="K496" i="1"/>
  <c r="K497" i="1"/>
  <c r="K498" i="1"/>
  <c r="K499" i="1"/>
  <c r="K500" i="1"/>
  <c r="K501" i="1"/>
  <c r="K507" i="1"/>
  <c r="K508" i="1"/>
  <c r="K509" i="1"/>
  <c r="K510" i="1"/>
  <c r="K511" i="1"/>
  <c r="K512" i="1"/>
  <c r="K513" i="1"/>
  <c r="K519" i="1"/>
  <c r="K520" i="1"/>
  <c r="K521" i="1"/>
  <c r="K522" i="1"/>
  <c r="K523" i="1"/>
  <c r="K524" i="1"/>
  <c r="K525" i="1"/>
  <c r="K531" i="1"/>
  <c r="K532" i="1"/>
  <c r="K533" i="1"/>
  <c r="K534" i="1"/>
  <c r="K535" i="1"/>
  <c r="K536" i="1"/>
  <c r="K537" i="1"/>
  <c r="K543" i="1"/>
  <c r="K544" i="1"/>
  <c r="K545" i="1"/>
  <c r="K546" i="1"/>
  <c r="K547" i="1"/>
  <c r="K548" i="1"/>
  <c r="K549" i="1"/>
  <c r="K555" i="1"/>
  <c r="K556" i="1"/>
  <c r="K557" i="1"/>
  <c r="K558" i="1"/>
  <c r="K559" i="1"/>
  <c r="K560" i="1"/>
  <c r="K561" i="1"/>
  <c r="K567" i="1"/>
  <c r="K568" i="1"/>
  <c r="K569" i="1"/>
  <c r="K570" i="1"/>
  <c r="K571" i="1"/>
  <c r="K572" i="1"/>
  <c r="K573" i="1"/>
  <c r="K579" i="1"/>
  <c r="K580" i="1"/>
  <c r="K581" i="1"/>
  <c r="K582" i="1"/>
  <c r="K583" i="1"/>
  <c r="K584" i="1"/>
  <c r="K585" i="1"/>
  <c r="K591" i="1"/>
  <c r="K592" i="1"/>
  <c r="K593" i="1"/>
  <c r="K594" i="1"/>
  <c r="K595" i="1"/>
  <c r="K596" i="1"/>
  <c r="K597" i="1"/>
  <c r="K603" i="1"/>
  <c r="K604" i="1"/>
  <c r="K605" i="1"/>
  <c r="K606" i="1"/>
  <c r="K607" i="1"/>
  <c r="K608" i="1"/>
  <c r="K609" i="1"/>
  <c r="K615" i="1"/>
  <c r="K616" i="1"/>
  <c r="K617" i="1"/>
  <c r="K618" i="1"/>
  <c r="K619" i="1"/>
  <c r="K620" i="1"/>
  <c r="K621" i="1"/>
  <c r="K627" i="1"/>
  <c r="K628" i="1"/>
  <c r="K629" i="1"/>
  <c r="K630" i="1"/>
  <c r="K631" i="1"/>
  <c r="K632" i="1"/>
  <c r="K633" i="1"/>
  <c r="K639" i="1"/>
  <c r="K640" i="1"/>
  <c r="K641" i="1"/>
  <c r="K642" i="1"/>
  <c r="K643" i="1"/>
  <c r="K644" i="1"/>
  <c r="K645" i="1"/>
  <c r="K16" i="1"/>
  <c r="K17" i="1"/>
  <c r="K18" i="1"/>
  <c r="K19" i="1"/>
  <c r="K20" i="1"/>
  <c r="K21" i="1"/>
  <c r="K15" i="1"/>
  <c r="E38" i="1"/>
  <c r="F38" i="1"/>
  <c r="G38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E94" i="1"/>
  <c r="F94" i="1"/>
  <c r="G94" i="1"/>
  <c r="E95" i="1"/>
  <c r="F95" i="1"/>
  <c r="G95" i="1"/>
  <c r="E96" i="1"/>
  <c r="F96" i="1"/>
  <c r="G96" i="1"/>
  <c r="E97" i="1"/>
  <c r="F97" i="1"/>
  <c r="G97" i="1"/>
  <c r="E98" i="1"/>
  <c r="F98" i="1"/>
  <c r="G98" i="1"/>
  <c r="E106" i="1"/>
  <c r="F106" i="1"/>
  <c r="G106" i="1"/>
  <c r="E107" i="1"/>
  <c r="F107" i="1"/>
  <c r="G107" i="1"/>
  <c r="E108" i="1"/>
  <c r="F108" i="1"/>
  <c r="G108" i="1"/>
  <c r="E109" i="1"/>
  <c r="F109" i="1"/>
  <c r="G109" i="1"/>
  <c r="E110" i="1"/>
  <c r="F110" i="1"/>
  <c r="G110" i="1"/>
  <c r="E118" i="1"/>
  <c r="F118" i="1"/>
  <c r="G118" i="1"/>
  <c r="E119" i="1"/>
  <c r="F119" i="1"/>
  <c r="G119" i="1"/>
  <c r="E120" i="1"/>
  <c r="F120" i="1"/>
  <c r="G120" i="1"/>
  <c r="E121" i="1"/>
  <c r="F121" i="1"/>
  <c r="G121" i="1"/>
  <c r="E122" i="1"/>
  <c r="F122" i="1"/>
  <c r="G122" i="1"/>
  <c r="E130" i="1"/>
  <c r="F130" i="1"/>
  <c r="G130" i="1"/>
  <c r="E131" i="1"/>
  <c r="F131" i="1"/>
  <c r="G131" i="1"/>
  <c r="E132" i="1"/>
  <c r="F132" i="1"/>
  <c r="G132" i="1"/>
  <c r="E133" i="1"/>
  <c r="F133" i="1"/>
  <c r="G133" i="1"/>
  <c r="E134" i="1"/>
  <c r="F134" i="1"/>
  <c r="G134" i="1"/>
  <c r="E142" i="1"/>
  <c r="F142" i="1"/>
  <c r="G142" i="1"/>
  <c r="E143" i="1"/>
  <c r="F143" i="1"/>
  <c r="G143" i="1"/>
  <c r="E144" i="1"/>
  <c r="F144" i="1"/>
  <c r="G144" i="1"/>
  <c r="E145" i="1"/>
  <c r="F145" i="1"/>
  <c r="G145" i="1"/>
  <c r="E146" i="1"/>
  <c r="F146" i="1"/>
  <c r="G146" i="1"/>
  <c r="E154" i="1"/>
  <c r="F154" i="1"/>
  <c r="G154" i="1"/>
  <c r="E155" i="1"/>
  <c r="F155" i="1"/>
  <c r="G155" i="1"/>
  <c r="E156" i="1"/>
  <c r="F156" i="1"/>
  <c r="G156" i="1"/>
  <c r="E157" i="1"/>
  <c r="F157" i="1"/>
  <c r="G157" i="1"/>
  <c r="E158" i="1"/>
  <c r="F158" i="1"/>
  <c r="G158" i="1"/>
  <c r="E166" i="1"/>
  <c r="F166" i="1"/>
  <c r="G166" i="1"/>
  <c r="E167" i="1"/>
  <c r="F167" i="1"/>
  <c r="G167" i="1"/>
  <c r="E168" i="1"/>
  <c r="F168" i="1"/>
  <c r="G168" i="1"/>
  <c r="E169" i="1"/>
  <c r="F169" i="1"/>
  <c r="G169" i="1"/>
  <c r="E170" i="1"/>
  <c r="F170" i="1"/>
  <c r="G170" i="1"/>
  <c r="E178" i="1"/>
  <c r="F178" i="1"/>
  <c r="G178" i="1"/>
  <c r="E179" i="1"/>
  <c r="F179" i="1"/>
  <c r="G179" i="1"/>
  <c r="E180" i="1"/>
  <c r="F180" i="1"/>
  <c r="G180" i="1"/>
  <c r="E181" i="1"/>
  <c r="F181" i="1"/>
  <c r="G181" i="1"/>
  <c r="E182" i="1"/>
  <c r="F182" i="1"/>
  <c r="G182" i="1"/>
  <c r="E190" i="1"/>
  <c r="F190" i="1"/>
  <c r="G190" i="1"/>
  <c r="E191" i="1"/>
  <c r="F191" i="1"/>
  <c r="G191" i="1"/>
  <c r="E192" i="1"/>
  <c r="F192" i="1"/>
  <c r="G192" i="1"/>
  <c r="E193" i="1"/>
  <c r="F193" i="1"/>
  <c r="G193" i="1"/>
  <c r="E194" i="1"/>
  <c r="F194" i="1"/>
  <c r="G194" i="1"/>
  <c r="E202" i="1"/>
  <c r="F202" i="1"/>
  <c r="G202" i="1"/>
  <c r="E203" i="1"/>
  <c r="F203" i="1"/>
  <c r="G203" i="1"/>
  <c r="E204" i="1"/>
  <c r="F204" i="1"/>
  <c r="G204" i="1"/>
  <c r="E205" i="1"/>
  <c r="F205" i="1"/>
  <c r="G205" i="1"/>
  <c r="E206" i="1"/>
  <c r="F206" i="1"/>
  <c r="G206" i="1"/>
  <c r="E214" i="1"/>
  <c r="F214" i="1"/>
  <c r="G214" i="1"/>
  <c r="E215" i="1"/>
  <c r="F215" i="1"/>
  <c r="G215" i="1"/>
  <c r="E216" i="1"/>
  <c r="F216" i="1"/>
  <c r="G216" i="1"/>
  <c r="E217" i="1"/>
  <c r="F217" i="1"/>
  <c r="G217" i="1"/>
  <c r="E218" i="1"/>
  <c r="F218" i="1"/>
  <c r="G218" i="1"/>
  <c r="E226" i="1"/>
  <c r="F226" i="1"/>
  <c r="G226" i="1"/>
  <c r="E227" i="1"/>
  <c r="F227" i="1"/>
  <c r="G227" i="1"/>
  <c r="E228" i="1"/>
  <c r="F228" i="1"/>
  <c r="G228" i="1"/>
  <c r="E229" i="1"/>
  <c r="F229" i="1"/>
  <c r="G229" i="1"/>
  <c r="E230" i="1"/>
  <c r="F230" i="1"/>
  <c r="G230" i="1"/>
  <c r="E238" i="1"/>
  <c r="F238" i="1"/>
  <c r="G238" i="1"/>
  <c r="E239" i="1"/>
  <c r="F239" i="1"/>
  <c r="G239" i="1"/>
  <c r="E240" i="1"/>
  <c r="F240" i="1"/>
  <c r="G240" i="1"/>
  <c r="E241" i="1"/>
  <c r="F241" i="1"/>
  <c r="G241" i="1"/>
  <c r="E242" i="1"/>
  <c r="F242" i="1"/>
  <c r="G242" i="1"/>
  <c r="E250" i="1"/>
  <c r="F250" i="1"/>
  <c r="G250" i="1"/>
  <c r="E251" i="1"/>
  <c r="F251" i="1"/>
  <c r="G251" i="1"/>
  <c r="E252" i="1"/>
  <c r="F252" i="1"/>
  <c r="G252" i="1"/>
  <c r="E253" i="1"/>
  <c r="F253" i="1"/>
  <c r="G253" i="1"/>
  <c r="E254" i="1"/>
  <c r="F254" i="1"/>
  <c r="G254" i="1"/>
  <c r="E262" i="1"/>
  <c r="F262" i="1"/>
  <c r="G262" i="1"/>
  <c r="E263" i="1"/>
  <c r="F263" i="1"/>
  <c r="G263" i="1"/>
  <c r="E264" i="1"/>
  <c r="F264" i="1"/>
  <c r="G264" i="1"/>
  <c r="E265" i="1"/>
  <c r="F265" i="1"/>
  <c r="G265" i="1"/>
  <c r="E266" i="1"/>
  <c r="F266" i="1"/>
  <c r="G266" i="1"/>
  <c r="E274" i="1"/>
  <c r="F274" i="1"/>
  <c r="G274" i="1"/>
  <c r="E275" i="1"/>
  <c r="F275" i="1"/>
  <c r="G275" i="1"/>
  <c r="E276" i="1"/>
  <c r="F276" i="1"/>
  <c r="G276" i="1"/>
  <c r="E277" i="1"/>
  <c r="F277" i="1"/>
  <c r="G277" i="1"/>
  <c r="E278" i="1"/>
  <c r="F278" i="1"/>
  <c r="G278" i="1"/>
  <c r="E286" i="1"/>
  <c r="F286" i="1"/>
  <c r="G286" i="1"/>
  <c r="E287" i="1"/>
  <c r="F287" i="1"/>
  <c r="G287" i="1"/>
  <c r="E288" i="1"/>
  <c r="F288" i="1"/>
  <c r="G288" i="1"/>
  <c r="E289" i="1"/>
  <c r="F289" i="1"/>
  <c r="G289" i="1"/>
  <c r="E290" i="1"/>
  <c r="F290" i="1"/>
  <c r="G290" i="1"/>
  <c r="E298" i="1"/>
  <c r="F298" i="1"/>
  <c r="G298" i="1"/>
  <c r="E299" i="1"/>
  <c r="F299" i="1"/>
  <c r="G299" i="1"/>
  <c r="E300" i="1"/>
  <c r="F300" i="1"/>
  <c r="G300" i="1"/>
  <c r="E301" i="1"/>
  <c r="F301" i="1"/>
  <c r="G301" i="1"/>
  <c r="E302" i="1"/>
  <c r="F302" i="1"/>
  <c r="G302" i="1"/>
  <c r="E310" i="1"/>
  <c r="F310" i="1"/>
  <c r="G310" i="1"/>
  <c r="E311" i="1"/>
  <c r="F311" i="1"/>
  <c r="G311" i="1"/>
  <c r="E312" i="1"/>
  <c r="F312" i="1"/>
  <c r="G312" i="1"/>
  <c r="E313" i="1"/>
  <c r="F313" i="1"/>
  <c r="G313" i="1"/>
  <c r="E314" i="1"/>
  <c r="F314" i="1"/>
  <c r="G314" i="1"/>
  <c r="E322" i="1"/>
  <c r="F322" i="1"/>
  <c r="G322" i="1"/>
  <c r="E323" i="1"/>
  <c r="F323" i="1"/>
  <c r="G323" i="1"/>
  <c r="E324" i="1"/>
  <c r="F324" i="1"/>
  <c r="G324" i="1"/>
  <c r="E325" i="1"/>
  <c r="F325" i="1"/>
  <c r="G325" i="1"/>
  <c r="E326" i="1"/>
  <c r="F326" i="1"/>
  <c r="G326" i="1"/>
  <c r="E334" i="1"/>
  <c r="F334" i="1"/>
  <c r="G334" i="1"/>
  <c r="E335" i="1"/>
  <c r="F335" i="1"/>
  <c r="G335" i="1"/>
  <c r="E336" i="1"/>
  <c r="F336" i="1"/>
  <c r="G336" i="1"/>
  <c r="E337" i="1"/>
  <c r="F337" i="1"/>
  <c r="G337" i="1"/>
  <c r="E338" i="1"/>
  <c r="F338" i="1"/>
  <c r="G338" i="1"/>
  <c r="E346" i="1"/>
  <c r="F346" i="1"/>
  <c r="G346" i="1"/>
  <c r="E347" i="1"/>
  <c r="F347" i="1"/>
  <c r="G347" i="1"/>
  <c r="E348" i="1"/>
  <c r="F348" i="1"/>
  <c r="G348" i="1"/>
  <c r="E349" i="1"/>
  <c r="F349" i="1"/>
  <c r="G349" i="1"/>
  <c r="E350" i="1"/>
  <c r="F350" i="1"/>
  <c r="G350" i="1"/>
  <c r="E358" i="1"/>
  <c r="F358" i="1"/>
  <c r="G358" i="1"/>
  <c r="E359" i="1"/>
  <c r="F359" i="1"/>
  <c r="G359" i="1"/>
  <c r="E360" i="1"/>
  <c r="F360" i="1"/>
  <c r="G360" i="1"/>
  <c r="E361" i="1"/>
  <c r="F361" i="1"/>
  <c r="G361" i="1"/>
  <c r="E362" i="1"/>
  <c r="F362" i="1"/>
  <c r="G362" i="1"/>
  <c r="E370" i="1"/>
  <c r="F370" i="1"/>
  <c r="G370" i="1"/>
  <c r="E371" i="1"/>
  <c r="F371" i="1"/>
  <c r="G371" i="1"/>
  <c r="E372" i="1"/>
  <c r="F372" i="1"/>
  <c r="G372" i="1"/>
  <c r="E373" i="1"/>
  <c r="F373" i="1"/>
  <c r="G373" i="1"/>
  <c r="E374" i="1"/>
  <c r="F374" i="1"/>
  <c r="G374" i="1"/>
  <c r="E382" i="1"/>
  <c r="F382" i="1"/>
  <c r="G382" i="1"/>
  <c r="E383" i="1"/>
  <c r="F383" i="1"/>
  <c r="G383" i="1"/>
  <c r="E384" i="1"/>
  <c r="F384" i="1"/>
  <c r="G384" i="1"/>
  <c r="E385" i="1"/>
  <c r="F385" i="1"/>
  <c r="G385" i="1"/>
  <c r="E386" i="1"/>
  <c r="F386" i="1"/>
  <c r="G386" i="1"/>
  <c r="E394" i="1"/>
  <c r="F394" i="1"/>
  <c r="G394" i="1"/>
  <c r="E395" i="1"/>
  <c r="F395" i="1"/>
  <c r="G395" i="1"/>
  <c r="E396" i="1"/>
  <c r="F396" i="1"/>
  <c r="G396" i="1"/>
  <c r="E397" i="1"/>
  <c r="F397" i="1"/>
  <c r="G397" i="1"/>
  <c r="E398" i="1"/>
  <c r="F398" i="1"/>
  <c r="G398" i="1"/>
  <c r="E406" i="1"/>
  <c r="F406" i="1"/>
  <c r="G406" i="1"/>
  <c r="E407" i="1"/>
  <c r="F407" i="1"/>
  <c r="G407" i="1"/>
  <c r="E408" i="1"/>
  <c r="F408" i="1"/>
  <c r="G408" i="1"/>
  <c r="E409" i="1"/>
  <c r="F409" i="1"/>
  <c r="G409" i="1"/>
  <c r="E410" i="1"/>
  <c r="F410" i="1"/>
  <c r="G410" i="1"/>
  <c r="E418" i="1"/>
  <c r="F418" i="1"/>
  <c r="G418" i="1"/>
  <c r="E419" i="1"/>
  <c r="F419" i="1"/>
  <c r="G419" i="1"/>
  <c r="E420" i="1"/>
  <c r="F420" i="1"/>
  <c r="G420" i="1"/>
  <c r="E421" i="1"/>
  <c r="F421" i="1"/>
  <c r="G421" i="1"/>
  <c r="E422" i="1"/>
  <c r="F422" i="1"/>
  <c r="G422" i="1"/>
  <c r="E430" i="1"/>
  <c r="F430" i="1"/>
  <c r="G430" i="1"/>
  <c r="E431" i="1"/>
  <c r="F431" i="1"/>
  <c r="G431" i="1"/>
  <c r="E432" i="1"/>
  <c r="F432" i="1"/>
  <c r="G432" i="1"/>
  <c r="E433" i="1"/>
  <c r="F433" i="1"/>
  <c r="G433" i="1"/>
  <c r="E434" i="1"/>
  <c r="F434" i="1"/>
  <c r="G434" i="1"/>
  <c r="E442" i="1"/>
  <c r="F442" i="1"/>
  <c r="G442" i="1"/>
  <c r="E443" i="1"/>
  <c r="F443" i="1"/>
  <c r="G443" i="1"/>
  <c r="E444" i="1"/>
  <c r="F444" i="1"/>
  <c r="G444" i="1"/>
  <c r="E445" i="1"/>
  <c r="F445" i="1"/>
  <c r="G445" i="1"/>
  <c r="E446" i="1"/>
  <c r="F446" i="1"/>
  <c r="G446" i="1"/>
  <c r="E454" i="1"/>
  <c r="F454" i="1"/>
  <c r="G454" i="1"/>
  <c r="E455" i="1"/>
  <c r="F455" i="1"/>
  <c r="G455" i="1"/>
  <c r="E456" i="1"/>
  <c r="F456" i="1"/>
  <c r="G456" i="1"/>
  <c r="E457" i="1"/>
  <c r="F457" i="1"/>
  <c r="G457" i="1"/>
  <c r="E458" i="1"/>
  <c r="F458" i="1"/>
  <c r="G458" i="1"/>
  <c r="E466" i="1"/>
  <c r="F466" i="1"/>
  <c r="G466" i="1"/>
  <c r="E467" i="1"/>
  <c r="F467" i="1"/>
  <c r="G467" i="1"/>
  <c r="E468" i="1"/>
  <c r="F468" i="1"/>
  <c r="G468" i="1"/>
  <c r="E469" i="1"/>
  <c r="F469" i="1"/>
  <c r="G469" i="1"/>
  <c r="E470" i="1"/>
  <c r="F470" i="1"/>
  <c r="G470" i="1"/>
  <c r="E478" i="1"/>
  <c r="F478" i="1"/>
  <c r="G478" i="1"/>
  <c r="E479" i="1"/>
  <c r="F479" i="1"/>
  <c r="G479" i="1"/>
  <c r="E480" i="1"/>
  <c r="F480" i="1"/>
  <c r="G480" i="1"/>
  <c r="E481" i="1"/>
  <c r="F481" i="1"/>
  <c r="G481" i="1"/>
  <c r="E482" i="1"/>
  <c r="F482" i="1"/>
  <c r="G482" i="1"/>
  <c r="E490" i="1"/>
  <c r="F490" i="1"/>
  <c r="G490" i="1"/>
  <c r="E491" i="1"/>
  <c r="F491" i="1"/>
  <c r="G491" i="1"/>
  <c r="E492" i="1"/>
  <c r="F492" i="1"/>
  <c r="G492" i="1"/>
  <c r="E493" i="1"/>
  <c r="F493" i="1"/>
  <c r="G493" i="1"/>
  <c r="E494" i="1"/>
  <c r="F494" i="1"/>
  <c r="G494" i="1"/>
  <c r="E502" i="1"/>
  <c r="F502" i="1"/>
  <c r="G502" i="1"/>
  <c r="E503" i="1"/>
  <c r="F503" i="1"/>
  <c r="G503" i="1"/>
  <c r="E504" i="1"/>
  <c r="F504" i="1"/>
  <c r="G504" i="1"/>
  <c r="E505" i="1"/>
  <c r="F505" i="1"/>
  <c r="G505" i="1"/>
  <c r="E506" i="1"/>
  <c r="F506" i="1"/>
  <c r="G506" i="1"/>
  <c r="E514" i="1"/>
  <c r="F514" i="1"/>
  <c r="G514" i="1"/>
  <c r="E515" i="1"/>
  <c r="F515" i="1"/>
  <c r="G515" i="1"/>
  <c r="E516" i="1"/>
  <c r="F516" i="1"/>
  <c r="G516" i="1"/>
  <c r="E517" i="1"/>
  <c r="F517" i="1"/>
  <c r="G517" i="1"/>
  <c r="E518" i="1"/>
  <c r="F518" i="1"/>
  <c r="G518" i="1"/>
  <c r="E526" i="1"/>
  <c r="F526" i="1"/>
  <c r="G526" i="1"/>
  <c r="E527" i="1"/>
  <c r="F527" i="1"/>
  <c r="G527" i="1"/>
  <c r="E528" i="1"/>
  <c r="F528" i="1"/>
  <c r="G528" i="1"/>
  <c r="E529" i="1"/>
  <c r="F529" i="1"/>
  <c r="G529" i="1"/>
  <c r="E530" i="1"/>
  <c r="F530" i="1"/>
  <c r="G530" i="1"/>
  <c r="E538" i="1"/>
  <c r="F538" i="1"/>
  <c r="G538" i="1"/>
  <c r="E539" i="1"/>
  <c r="F539" i="1"/>
  <c r="G539" i="1"/>
  <c r="E540" i="1"/>
  <c r="F540" i="1"/>
  <c r="G540" i="1"/>
  <c r="E541" i="1"/>
  <c r="F541" i="1"/>
  <c r="G541" i="1"/>
  <c r="E542" i="1"/>
  <c r="F542" i="1"/>
  <c r="G542" i="1"/>
  <c r="E550" i="1"/>
  <c r="F550" i="1"/>
  <c r="G550" i="1"/>
  <c r="E551" i="1"/>
  <c r="F551" i="1"/>
  <c r="G551" i="1"/>
  <c r="E552" i="1"/>
  <c r="F552" i="1"/>
  <c r="G552" i="1"/>
  <c r="E553" i="1"/>
  <c r="F553" i="1"/>
  <c r="G553" i="1"/>
  <c r="E554" i="1"/>
  <c r="F554" i="1"/>
  <c r="G554" i="1"/>
  <c r="E562" i="1"/>
  <c r="F562" i="1"/>
  <c r="G562" i="1"/>
  <c r="E563" i="1"/>
  <c r="F563" i="1"/>
  <c r="G563" i="1"/>
  <c r="E564" i="1"/>
  <c r="F564" i="1"/>
  <c r="G564" i="1"/>
  <c r="E565" i="1"/>
  <c r="F565" i="1"/>
  <c r="G565" i="1"/>
  <c r="E566" i="1"/>
  <c r="F566" i="1"/>
  <c r="G566" i="1"/>
  <c r="E574" i="1"/>
  <c r="F574" i="1"/>
  <c r="G574" i="1"/>
  <c r="E575" i="1"/>
  <c r="F575" i="1"/>
  <c r="G575" i="1"/>
  <c r="E576" i="1"/>
  <c r="F576" i="1"/>
  <c r="G576" i="1"/>
  <c r="E577" i="1"/>
  <c r="F577" i="1"/>
  <c r="G577" i="1"/>
  <c r="E578" i="1"/>
  <c r="F578" i="1"/>
  <c r="G578" i="1"/>
  <c r="E586" i="1"/>
  <c r="F586" i="1"/>
  <c r="G586" i="1"/>
  <c r="E587" i="1"/>
  <c r="F587" i="1"/>
  <c r="G587" i="1"/>
  <c r="E588" i="1"/>
  <c r="F588" i="1"/>
  <c r="G588" i="1"/>
  <c r="E589" i="1"/>
  <c r="F589" i="1"/>
  <c r="G589" i="1"/>
  <c r="E590" i="1"/>
  <c r="F590" i="1"/>
  <c r="G590" i="1"/>
  <c r="E598" i="1"/>
  <c r="F598" i="1"/>
  <c r="G598" i="1"/>
  <c r="E599" i="1"/>
  <c r="F599" i="1"/>
  <c r="G599" i="1"/>
  <c r="E600" i="1"/>
  <c r="F600" i="1"/>
  <c r="G600" i="1"/>
  <c r="E601" i="1"/>
  <c r="F601" i="1"/>
  <c r="G601" i="1"/>
  <c r="E602" i="1"/>
  <c r="F602" i="1"/>
  <c r="G602" i="1"/>
  <c r="E610" i="1"/>
  <c r="F610" i="1"/>
  <c r="G610" i="1"/>
  <c r="E611" i="1"/>
  <c r="F611" i="1"/>
  <c r="G611" i="1"/>
  <c r="E612" i="1"/>
  <c r="F612" i="1"/>
  <c r="G612" i="1"/>
  <c r="E613" i="1"/>
  <c r="F613" i="1"/>
  <c r="G613" i="1"/>
  <c r="E614" i="1"/>
  <c r="F614" i="1"/>
  <c r="G614" i="1"/>
  <c r="E622" i="1"/>
  <c r="F622" i="1"/>
  <c r="G622" i="1"/>
  <c r="E623" i="1"/>
  <c r="F623" i="1"/>
  <c r="G623" i="1"/>
  <c r="E624" i="1"/>
  <c r="F624" i="1"/>
  <c r="G624" i="1"/>
  <c r="E625" i="1"/>
  <c r="F625" i="1"/>
  <c r="G625" i="1"/>
  <c r="E626" i="1"/>
  <c r="F626" i="1"/>
  <c r="G626" i="1"/>
  <c r="E634" i="1"/>
  <c r="F634" i="1"/>
  <c r="G634" i="1"/>
  <c r="E635" i="1"/>
  <c r="F635" i="1"/>
  <c r="G635" i="1"/>
  <c r="E636" i="1"/>
  <c r="F636" i="1"/>
  <c r="G636" i="1"/>
  <c r="E637" i="1"/>
  <c r="F637" i="1"/>
  <c r="G637" i="1"/>
  <c r="E638" i="1"/>
  <c r="F638" i="1"/>
  <c r="G638" i="1"/>
  <c r="E646" i="1"/>
  <c r="F646" i="1"/>
  <c r="G646" i="1"/>
  <c r="E647" i="1"/>
  <c r="F647" i="1"/>
  <c r="G647" i="1"/>
  <c r="E648" i="1"/>
  <c r="F648" i="1"/>
  <c r="G648" i="1"/>
  <c r="E649" i="1"/>
  <c r="F649" i="1"/>
  <c r="G649" i="1"/>
  <c r="AB34" i="1" l="1"/>
  <c r="AC34" i="1" s="1"/>
  <c r="AB35" i="1"/>
  <c r="AC35" i="1" s="1"/>
  <c r="AB36" i="1"/>
  <c r="AC36" i="1" s="1"/>
  <c r="AB37" i="1"/>
  <c r="AC37" i="1" s="1"/>
  <c r="AB38" i="1"/>
  <c r="AC38" i="1" s="1"/>
  <c r="AB46" i="1"/>
  <c r="AC46" i="1" s="1"/>
  <c r="AB47" i="1"/>
  <c r="AC47" i="1" s="1"/>
  <c r="AB48" i="1"/>
  <c r="AC48" i="1" s="1"/>
  <c r="AB49" i="1"/>
  <c r="AC49" i="1" s="1"/>
  <c r="AB50" i="1"/>
  <c r="AC50" i="1" s="1"/>
  <c r="AB58" i="1"/>
  <c r="AC58" i="1" s="1"/>
  <c r="AB59" i="1"/>
  <c r="AC59" i="1" s="1"/>
  <c r="AB60" i="1"/>
  <c r="AC60" i="1" s="1"/>
  <c r="AB61" i="1"/>
  <c r="AC61" i="1" s="1"/>
  <c r="AB62" i="1"/>
  <c r="AC62" i="1" s="1"/>
  <c r="AB70" i="1"/>
  <c r="AC70" i="1" s="1"/>
  <c r="AB71" i="1"/>
  <c r="AC71" i="1" s="1"/>
  <c r="AB72" i="1"/>
  <c r="AC72" i="1" s="1"/>
  <c r="AB73" i="1"/>
  <c r="AC73" i="1" s="1"/>
  <c r="AB74" i="1"/>
  <c r="AC74" i="1" s="1"/>
  <c r="AB82" i="1"/>
  <c r="AC82" i="1" s="1"/>
  <c r="AB83" i="1"/>
  <c r="AC83" i="1" s="1"/>
  <c r="AB84" i="1"/>
  <c r="AC84" i="1" s="1"/>
  <c r="AB85" i="1"/>
  <c r="AC85" i="1" s="1"/>
  <c r="AB86" i="1"/>
  <c r="AC86" i="1" s="1"/>
  <c r="AB94" i="1"/>
  <c r="AC94" i="1" s="1"/>
  <c r="AB95" i="1"/>
  <c r="AC95" i="1" s="1"/>
  <c r="AB96" i="1"/>
  <c r="AC96" i="1" s="1"/>
  <c r="AB97" i="1"/>
  <c r="AC97" i="1" s="1"/>
  <c r="AB98" i="1"/>
  <c r="AC98" i="1" s="1"/>
  <c r="AB106" i="1"/>
  <c r="AC106" i="1" s="1"/>
  <c r="AB107" i="1"/>
  <c r="AC107" i="1" s="1"/>
  <c r="AB108" i="1"/>
  <c r="AC108" i="1" s="1"/>
  <c r="AB109" i="1"/>
  <c r="AC109" i="1" s="1"/>
  <c r="AB110" i="1"/>
  <c r="AC110" i="1" s="1"/>
  <c r="AB118" i="1"/>
  <c r="AC118" i="1" s="1"/>
  <c r="AB119" i="1"/>
  <c r="AC119" i="1" s="1"/>
  <c r="AB120" i="1"/>
  <c r="AC120" i="1" s="1"/>
  <c r="AB121" i="1"/>
  <c r="AC121" i="1" s="1"/>
  <c r="AB122" i="1"/>
  <c r="AC122" i="1" s="1"/>
  <c r="AB130" i="1"/>
  <c r="AC130" i="1" s="1"/>
  <c r="AB131" i="1"/>
  <c r="AC131" i="1" s="1"/>
  <c r="AB132" i="1"/>
  <c r="AC132" i="1" s="1"/>
  <c r="AB133" i="1"/>
  <c r="AC133" i="1" s="1"/>
  <c r="AB134" i="1"/>
  <c r="AC134" i="1" s="1"/>
  <c r="AB142" i="1"/>
  <c r="AC142" i="1" s="1"/>
  <c r="AB143" i="1"/>
  <c r="AC143" i="1" s="1"/>
  <c r="AB144" i="1"/>
  <c r="AC144" i="1" s="1"/>
  <c r="AB145" i="1"/>
  <c r="AC145" i="1" s="1"/>
  <c r="AB146" i="1"/>
  <c r="AC146" i="1" s="1"/>
  <c r="AB154" i="1"/>
  <c r="AC154" i="1" s="1"/>
  <c r="AB155" i="1"/>
  <c r="AC155" i="1" s="1"/>
  <c r="AB156" i="1"/>
  <c r="AC156" i="1" s="1"/>
  <c r="AB157" i="1"/>
  <c r="AC157" i="1" s="1"/>
  <c r="AB158" i="1"/>
  <c r="AC158" i="1" s="1"/>
  <c r="AB166" i="1"/>
  <c r="AC166" i="1" s="1"/>
  <c r="AB167" i="1"/>
  <c r="AC167" i="1" s="1"/>
  <c r="AB168" i="1"/>
  <c r="AC168" i="1" s="1"/>
  <c r="AB169" i="1"/>
  <c r="AC169" i="1" s="1"/>
  <c r="AB170" i="1"/>
  <c r="AC170" i="1" s="1"/>
  <c r="AB178" i="1"/>
  <c r="AC178" i="1" s="1"/>
  <c r="AB179" i="1"/>
  <c r="AC179" i="1" s="1"/>
  <c r="AB180" i="1"/>
  <c r="AC180" i="1" s="1"/>
  <c r="AB181" i="1"/>
  <c r="AC181" i="1" s="1"/>
  <c r="AB182" i="1"/>
  <c r="AC182" i="1" s="1"/>
  <c r="AB190" i="1"/>
  <c r="AC190" i="1" s="1"/>
  <c r="AB191" i="1"/>
  <c r="AC191" i="1" s="1"/>
  <c r="AB192" i="1"/>
  <c r="AC192" i="1" s="1"/>
  <c r="AB193" i="1"/>
  <c r="AC193" i="1" s="1"/>
  <c r="AB194" i="1"/>
  <c r="AC194" i="1" s="1"/>
  <c r="AB202" i="1"/>
  <c r="AC202" i="1" s="1"/>
  <c r="AB203" i="1"/>
  <c r="AC203" i="1" s="1"/>
  <c r="AB204" i="1"/>
  <c r="AC204" i="1" s="1"/>
  <c r="AB205" i="1"/>
  <c r="AC205" i="1" s="1"/>
  <c r="AB206" i="1"/>
  <c r="AC206" i="1" s="1"/>
  <c r="AB214" i="1"/>
  <c r="AC214" i="1" s="1"/>
  <c r="AB215" i="1"/>
  <c r="AC215" i="1" s="1"/>
  <c r="AB216" i="1"/>
  <c r="AC216" i="1" s="1"/>
  <c r="AB217" i="1"/>
  <c r="AC217" i="1" s="1"/>
  <c r="AB218" i="1"/>
  <c r="AC218" i="1" s="1"/>
  <c r="AB226" i="1"/>
  <c r="AC226" i="1" s="1"/>
  <c r="AB227" i="1"/>
  <c r="AC227" i="1" s="1"/>
  <c r="AB228" i="1"/>
  <c r="AC228" i="1" s="1"/>
  <c r="AB229" i="1"/>
  <c r="AC229" i="1" s="1"/>
  <c r="AB230" i="1"/>
  <c r="AC230" i="1" s="1"/>
  <c r="AB238" i="1"/>
  <c r="AC238" i="1" s="1"/>
  <c r="AB239" i="1"/>
  <c r="AC239" i="1" s="1"/>
  <c r="AB240" i="1"/>
  <c r="AC240" i="1" s="1"/>
  <c r="AB241" i="1"/>
  <c r="AC241" i="1" s="1"/>
  <c r="AB242" i="1"/>
  <c r="AC242" i="1" s="1"/>
  <c r="AB250" i="1"/>
  <c r="AC250" i="1" s="1"/>
  <c r="AB251" i="1"/>
  <c r="AC251" i="1" s="1"/>
  <c r="AB252" i="1"/>
  <c r="AC252" i="1" s="1"/>
  <c r="AB253" i="1"/>
  <c r="AC253" i="1" s="1"/>
  <c r="AB254" i="1"/>
  <c r="AC254" i="1" s="1"/>
  <c r="AB262" i="1"/>
  <c r="AC262" i="1" s="1"/>
  <c r="AB263" i="1"/>
  <c r="AC263" i="1" s="1"/>
  <c r="AB264" i="1"/>
  <c r="AC264" i="1" s="1"/>
  <c r="AB265" i="1"/>
  <c r="AC265" i="1" s="1"/>
  <c r="AB266" i="1"/>
  <c r="AC266" i="1" s="1"/>
  <c r="AB274" i="1"/>
  <c r="AC274" i="1" s="1"/>
  <c r="AB275" i="1"/>
  <c r="AC275" i="1" s="1"/>
  <c r="AB276" i="1"/>
  <c r="AC276" i="1" s="1"/>
  <c r="AB277" i="1"/>
  <c r="AC277" i="1" s="1"/>
  <c r="AB278" i="1"/>
  <c r="AC278" i="1" s="1"/>
  <c r="AB286" i="1"/>
  <c r="AC286" i="1" s="1"/>
  <c r="AB287" i="1"/>
  <c r="AC287" i="1" s="1"/>
  <c r="AB288" i="1"/>
  <c r="AC288" i="1" s="1"/>
  <c r="AB289" i="1"/>
  <c r="AC289" i="1" s="1"/>
  <c r="AB290" i="1"/>
  <c r="AC290" i="1" s="1"/>
  <c r="AB298" i="1"/>
  <c r="AC298" i="1" s="1"/>
  <c r="AB299" i="1"/>
  <c r="AC299" i="1" s="1"/>
  <c r="AB300" i="1"/>
  <c r="AC300" i="1" s="1"/>
  <c r="AB301" i="1"/>
  <c r="AC301" i="1" s="1"/>
  <c r="AB302" i="1"/>
  <c r="AC302" i="1" s="1"/>
  <c r="AB310" i="1"/>
  <c r="AC310" i="1" s="1"/>
  <c r="AB311" i="1"/>
  <c r="AC311" i="1" s="1"/>
  <c r="AB312" i="1"/>
  <c r="AC312" i="1" s="1"/>
  <c r="AB313" i="1"/>
  <c r="AC313" i="1" s="1"/>
  <c r="AB314" i="1"/>
  <c r="AC314" i="1" s="1"/>
  <c r="AB322" i="1"/>
  <c r="AC322" i="1" s="1"/>
  <c r="AB323" i="1"/>
  <c r="AC323" i="1" s="1"/>
  <c r="AB324" i="1"/>
  <c r="AC324" i="1" s="1"/>
  <c r="AB325" i="1"/>
  <c r="AC325" i="1" s="1"/>
  <c r="AB326" i="1"/>
  <c r="AC326" i="1" s="1"/>
  <c r="AB334" i="1"/>
  <c r="AC334" i="1" s="1"/>
  <c r="AB335" i="1"/>
  <c r="AC335" i="1" s="1"/>
  <c r="AB336" i="1"/>
  <c r="AC336" i="1" s="1"/>
  <c r="AB337" i="1"/>
  <c r="AC337" i="1" s="1"/>
  <c r="AB338" i="1"/>
  <c r="AC338" i="1" s="1"/>
  <c r="AB346" i="1"/>
  <c r="AC346" i="1" s="1"/>
  <c r="AB347" i="1"/>
  <c r="AC347" i="1" s="1"/>
  <c r="AB348" i="1"/>
  <c r="AC348" i="1" s="1"/>
  <c r="AB349" i="1"/>
  <c r="AC349" i="1" s="1"/>
  <c r="AB350" i="1"/>
  <c r="AC350" i="1" s="1"/>
  <c r="AB358" i="1"/>
  <c r="AC358" i="1" s="1"/>
  <c r="AB359" i="1"/>
  <c r="AC359" i="1" s="1"/>
  <c r="AB360" i="1"/>
  <c r="AC360" i="1" s="1"/>
  <c r="AB361" i="1"/>
  <c r="AC361" i="1" s="1"/>
  <c r="AB362" i="1"/>
  <c r="AC362" i="1" s="1"/>
  <c r="AB370" i="1"/>
  <c r="AC370" i="1" s="1"/>
  <c r="AB371" i="1"/>
  <c r="AC371" i="1" s="1"/>
  <c r="AB372" i="1"/>
  <c r="AC372" i="1" s="1"/>
  <c r="AB373" i="1"/>
  <c r="AC373" i="1" s="1"/>
  <c r="AB374" i="1"/>
  <c r="AC374" i="1" s="1"/>
  <c r="AB382" i="1"/>
  <c r="AC382" i="1" s="1"/>
  <c r="AB383" i="1"/>
  <c r="AC383" i="1" s="1"/>
  <c r="AB384" i="1"/>
  <c r="AC384" i="1" s="1"/>
  <c r="AB385" i="1"/>
  <c r="AC385" i="1" s="1"/>
  <c r="AB386" i="1"/>
  <c r="AC386" i="1" s="1"/>
  <c r="AB394" i="1"/>
  <c r="AC394" i="1" s="1"/>
  <c r="AB395" i="1"/>
  <c r="AC395" i="1" s="1"/>
  <c r="AB396" i="1"/>
  <c r="AC396" i="1" s="1"/>
  <c r="AB397" i="1"/>
  <c r="AC397" i="1" s="1"/>
  <c r="AB398" i="1"/>
  <c r="AC398" i="1" s="1"/>
  <c r="AB406" i="1"/>
  <c r="AC406" i="1" s="1"/>
  <c r="AB407" i="1"/>
  <c r="AC407" i="1" s="1"/>
  <c r="AB408" i="1"/>
  <c r="AC408" i="1" s="1"/>
  <c r="AB409" i="1"/>
  <c r="AC409" i="1" s="1"/>
  <c r="AB410" i="1"/>
  <c r="AC410" i="1" s="1"/>
  <c r="AB418" i="1"/>
  <c r="AC418" i="1" s="1"/>
  <c r="AB419" i="1"/>
  <c r="AC419" i="1" s="1"/>
  <c r="AB420" i="1"/>
  <c r="AC420" i="1" s="1"/>
  <c r="AB421" i="1"/>
  <c r="AC421" i="1" s="1"/>
  <c r="AB422" i="1"/>
  <c r="AC422" i="1" s="1"/>
  <c r="AB430" i="1"/>
  <c r="AC430" i="1" s="1"/>
  <c r="AB431" i="1"/>
  <c r="AC431" i="1" s="1"/>
  <c r="AB432" i="1"/>
  <c r="AC432" i="1" s="1"/>
  <c r="AB433" i="1"/>
  <c r="AC433" i="1" s="1"/>
  <c r="AB434" i="1"/>
  <c r="AC434" i="1" s="1"/>
  <c r="AB442" i="1"/>
  <c r="AC442" i="1" s="1"/>
  <c r="AB443" i="1"/>
  <c r="AC443" i="1" s="1"/>
  <c r="AB444" i="1"/>
  <c r="AC444" i="1" s="1"/>
  <c r="AB445" i="1"/>
  <c r="AC445" i="1" s="1"/>
  <c r="AB446" i="1"/>
  <c r="AC446" i="1" s="1"/>
  <c r="AB454" i="1"/>
  <c r="AC454" i="1" s="1"/>
  <c r="AB455" i="1"/>
  <c r="AC455" i="1" s="1"/>
  <c r="AB456" i="1"/>
  <c r="AC456" i="1" s="1"/>
  <c r="AB457" i="1"/>
  <c r="AC457" i="1" s="1"/>
  <c r="AB458" i="1"/>
  <c r="AC458" i="1" s="1"/>
  <c r="AB466" i="1"/>
  <c r="AC466" i="1" s="1"/>
  <c r="AB467" i="1"/>
  <c r="AC467" i="1" s="1"/>
  <c r="AB468" i="1"/>
  <c r="AC468" i="1" s="1"/>
  <c r="AB469" i="1"/>
  <c r="AC469" i="1" s="1"/>
  <c r="AB470" i="1"/>
  <c r="AC470" i="1" s="1"/>
  <c r="AB478" i="1"/>
  <c r="AC478" i="1" s="1"/>
  <c r="AB479" i="1"/>
  <c r="AC479" i="1" s="1"/>
  <c r="AB480" i="1"/>
  <c r="AC480" i="1" s="1"/>
  <c r="AB481" i="1"/>
  <c r="AC481" i="1" s="1"/>
  <c r="AB482" i="1"/>
  <c r="AC482" i="1" s="1"/>
  <c r="AB490" i="1"/>
  <c r="AC490" i="1" s="1"/>
  <c r="AB491" i="1"/>
  <c r="AC491" i="1" s="1"/>
  <c r="AB492" i="1"/>
  <c r="AC492" i="1" s="1"/>
  <c r="AB493" i="1"/>
  <c r="AC493" i="1" s="1"/>
  <c r="AB494" i="1"/>
  <c r="AC494" i="1" s="1"/>
  <c r="AB502" i="1"/>
  <c r="AC502" i="1" s="1"/>
  <c r="AB503" i="1"/>
  <c r="AC503" i="1" s="1"/>
  <c r="AB504" i="1"/>
  <c r="AC504" i="1" s="1"/>
  <c r="AB505" i="1"/>
  <c r="AC505" i="1" s="1"/>
  <c r="AB506" i="1"/>
  <c r="AC506" i="1" s="1"/>
  <c r="AB514" i="1"/>
  <c r="AC514" i="1" s="1"/>
  <c r="AB515" i="1"/>
  <c r="AC515" i="1" s="1"/>
  <c r="AB516" i="1"/>
  <c r="AC516" i="1" s="1"/>
  <c r="AB517" i="1"/>
  <c r="AC517" i="1" s="1"/>
  <c r="AB518" i="1"/>
  <c r="AC518" i="1" s="1"/>
  <c r="AB526" i="1"/>
  <c r="AC526" i="1" s="1"/>
  <c r="AB527" i="1"/>
  <c r="AC527" i="1" s="1"/>
  <c r="AB528" i="1"/>
  <c r="AC528" i="1" s="1"/>
  <c r="AB529" i="1"/>
  <c r="AC529" i="1" s="1"/>
  <c r="AB530" i="1"/>
  <c r="AC530" i="1" s="1"/>
  <c r="AB538" i="1"/>
  <c r="AC538" i="1" s="1"/>
  <c r="AB539" i="1"/>
  <c r="AC539" i="1" s="1"/>
  <c r="AB540" i="1"/>
  <c r="AC540" i="1" s="1"/>
  <c r="AB541" i="1"/>
  <c r="AC541" i="1" s="1"/>
  <c r="AB542" i="1"/>
  <c r="AC542" i="1" s="1"/>
  <c r="AB550" i="1"/>
  <c r="AC550" i="1" s="1"/>
  <c r="AB551" i="1"/>
  <c r="AC551" i="1" s="1"/>
  <c r="AB552" i="1"/>
  <c r="AC552" i="1" s="1"/>
  <c r="AB553" i="1"/>
  <c r="AC553" i="1" s="1"/>
  <c r="AB554" i="1"/>
  <c r="AC554" i="1" s="1"/>
  <c r="AB562" i="1"/>
  <c r="AC562" i="1" s="1"/>
  <c r="AB563" i="1"/>
  <c r="AC563" i="1" s="1"/>
  <c r="AB564" i="1"/>
  <c r="AC564" i="1" s="1"/>
  <c r="AB565" i="1"/>
  <c r="AC565" i="1" s="1"/>
  <c r="AB566" i="1"/>
  <c r="AC566" i="1" s="1"/>
  <c r="AB574" i="1"/>
  <c r="AC574" i="1" s="1"/>
  <c r="AB575" i="1"/>
  <c r="AC575" i="1" s="1"/>
  <c r="AB576" i="1"/>
  <c r="AC576" i="1" s="1"/>
  <c r="AB577" i="1"/>
  <c r="AC577" i="1" s="1"/>
  <c r="AB578" i="1"/>
  <c r="AC578" i="1" s="1"/>
  <c r="AB586" i="1"/>
  <c r="AC586" i="1" s="1"/>
  <c r="AB587" i="1"/>
  <c r="AC587" i="1" s="1"/>
  <c r="AB588" i="1"/>
  <c r="AC588" i="1" s="1"/>
  <c r="AB589" i="1"/>
  <c r="AC589" i="1" s="1"/>
  <c r="AB590" i="1"/>
  <c r="AC590" i="1" s="1"/>
  <c r="AB598" i="1"/>
  <c r="AC598" i="1" s="1"/>
  <c r="AB599" i="1"/>
  <c r="AC599" i="1" s="1"/>
  <c r="AB600" i="1"/>
  <c r="AC600" i="1" s="1"/>
  <c r="AB601" i="1"/>
  <c r="AC601" i="1" s="1"/>
  <c r="AB602" i="1"/>
  <c r="AC602" i="1" s="1"/>
  <c r="AB610" i="1"/>
  <c r="AC610" i="1" s="1"/>
  <c r="AB611" i="1"/>
  <c r="AC611" i="1" s="1"/>
  <c r="AB612" i="1"/>
  <c r="AC612" i="1" s="1"/>
  <c r="AB613" i="1"/>
  <c r="AC613" i="1" s="1"/>
  <c r="AB614" i="1"/>
  <c r="AC614" i="1" s="1"/>
  <c r="AB622" i="1"/>
  <c r="AC622" i="1" s="1"/>
  <c r="AB623" i="1"/>
  <c r="AC623" i="1" s="1"/>
  <c r="AB624" i="1"/>
  <c r="AC624" i="1" s="1"/>
  <c r="AB625" i="1"/>
  <c r="AC625" i="1" s="1"/>
  <c r="AB626" i="1"/>
  <c r="AC626" i="1" s="1"/>
  <c r="AB634" i="1"/>
  <c r="AC634" i="1" s="1"/>
  <c r="AB635" i="1"/>
  <c r="AC635" i="1" s="1"/>
  <c r="AB636" i="1"/>
  <c r="AC636" i="1" s="1"/>
  <c r="AB637" i="1"/>
  <c r="AC637" i="1" s="1"/>
  <c r="AB638" i="1"/>
  <c r="AC638" i="1" s="1"/>
  <c r="AB646" i="1"/>
  <c r="AC646" i="1" s="1"/>
  <c r="AB647" i="1"/>
  <c r="AC647" i="1" s="1"/>
  <c r="AB648" i="1"/>
  <c r="AC648" i="1" s="1"/>
  <c r="AB22" i="1"/>
  <c r="AC22" i="1" s="1"/>
  <c r="AB23" i="1"/>
  <c r="AC23" i="1" s="1"/>
  <c r="AB24" i="1"/>
  <c r="AC24" i="1" s="1"/>
  <c r="AB25" i="1"/>
  <c r="AC25" i="1" s="1"/>
  <c r="AB26" i="1"/>
  <c r="AC26" i="1" s="1"/>
  <c r="AC14" i="1"/>
  <c r="AB14" i="1"/>
  <c r="AA14" i="1"/>
  <c r="Z14" i="1"/>
  <c r="Z22" i="1"/>
  <c r="Z23" i="1"/>
  <c r="Z24" i="1"/>
  <c r="Z25" i="1"/>
  <c r="Z26" i="1"/>
  <c r="N64" i="1" l="1"/>
  <c r="W64" i="1"/>
  <c r="N65" i="1"/>
  <c r="W65" i="1"/>
  <c r="N66" i="1"/>
  <c r="W66" i="1"/>
  <c r="N67" i="1"/>
  <c r="W67" i="1"/>
  <c r="N68" i="1"/>
  <c r="W68" i="1"/>
  <c r="N69" i="1"/>
  <c r="W69" i="1"/>
  <c r="N75" i="1"/>
  <c r="W75" i="1"/>
  <c r="N76" i="1"/>
  <c r="W76" i="1"/>
  <c r="N77" i="1"/>
  <c r="W77" i="1"/>
  <c r="N78" i="1"/>
  <c r="W78" i="1"/>
  <c r="N79" i="1"/>
  <c r="W79" i="1"/>
  <c r="N80" i="1"/>
  <c r="W80" i="1"/>
  <c r="N81" i="1"/>
  <c r="W81" i="1"/>
  <c r="N87" i="1"/>
  <c r="W87" i="1"/>
  <c r="N88" i="1"/>
  <c r="W88" i="1"/>
  <c r="N89" i="1"/>
  <c r="W89" i="1"/>
  <c r="N90" i="1"/>
  <c r="W90" i="1"/>
  <c r="N91" i="1"/>
  <c r="W91" i="1"/>
  <c r="N92" i="1"/>
  <c r="W92" i="1"/>
  <c r="N93" i="1"/>
  <c r="W93" i="1"/>
  <c r="N99" i="1"/>
  <c r="W99" i="1"/>
  <c r="N100" i="1"/>
  <c r="W100" i="1"/>
  <c r="N101" i="1"/>
  <c r="W101" i="1"/>
  <c r="N102" i="1"/>
  <c r="W102" i="1"/>
  <c r="N103" i="1"/>
  <c r="W103" i="1"/>
  <c r="N104" i="1"/>
  <c r="W104" i="1"/>
  <c r="N105" i="1"/>
  <c r="W105" i="1"/>
  <c r="N111" i="1"/>
  <c r="W111" i="1"/>
  <c r="N112" i="1"/>
  <c r="W112" i="1"/>
  <c r="N113" i="1"/>
  <c r="W113" i="1"/>
  <c r="N114" i="1"/>
  <c r="W114" i="1"/>
  <c r="N115" i="1"/>
  <c r="W115" i="1"/>
  <c r="N116" i="1"/>
  <c r="W116" i="1"/>
  <c r="N117" i="1"/>
  <c r="W117" i="1"/>
  <c r="N123" i="1"/>
  <c r="W123" i="1"/>
  <c r="N124" i="1"/>
  <c r="W124" i="1"/>
  <c r="N125" i="1"/>
  <c r="W125" i="1"/>
  <c r="N126" i="1"/>
  <c r="W126" i="1"/>
  <c r="N127" i="1"/>
  <c r="W127" i="1"/>
  <c r="N128" i="1"/>
  <c r="W128" i="1"/>
  <c r="N129" i="1"/>
  <c r="W129" i="1"/>
  <c r="N135" i="1"/>
  <c r="W135" i="1"/>
  <c r="N136" i="1"/>
  <c r="W136" i="1"/>
  <c r="N137" i="1"/>
  <c r="W137" i="1"/>
  <c r="N138" i="1"/>
  <c r="W138" i="1"/>
  <c r="N139" i="1"/>
  <c r="W139" i="1"/>
  <c r="N140" i="1"/>
  <c r="W140" i="1"/>
  <c r="N141" i="1"/>
  <c r="W141" i="1"/>
  <c r="AA23" i="1"/>
  <c r="AA24" i="1"/>
  <c r="Z34" i="1"/>
  <c r="AA34" i="1" s="1"/>
  <c r="Z35" i="1"/>
  <c r="AA35" i="1" s="1"/>
  <c r="Z36" i="1"/>
  <c r="Z37" i="1"/>
  <c r="Z38" i="1"/>
  <c r="AA38" i="1" s="1"/>
  <c r="Z46" i="1"/>
  <c r="AA46" i="1" s="1"/>
  <c r="Z47" i="1"/>
  <c r="AA47" i="1" s="1"/>
  <c r="Z48" i="1"/>
  <c r="Z49" i="1"/>
  <c r="AA49" i="1" s="1"/>
  <c r="Z50" i="1"/>
  <c r="AA50" i="1" s="1"/>
  <c r="Z58" i="1"/>
  <c r="AA58" i="1" s="1"/>
  <c r="Z59" i="1"/>
  <c r="AA59" i="1" s="1"/>
  <c r="Z60" i="1"/>
  <c r="AA60" i="1" s="1"/>
  <c r="Z61" i="1"/>
  <c r="AA61" i="1" s="1"/>
  <c r="Z62" i="1"/>
  <c r="AA62" i="1" s="1"/>
  <c r="Z70" i="1"/>
  <c r="Z71" i="1"/>
  <c r="AA71" i="1" s="1"/>
  <c r="Z72" i="1"/>
  <c r="AA72" i="1" s="1"/>
  <c r="Z73" i="1"/>
  <c r="AA73" i="1" s="1"/>
  <c r="Z74" i="1"/>
  <c r="Z82" i="1"/>
  <c r="AA82" i="1" s="1"/>
  <c r="Z83" i="1"/>
  <c r="AA83" i="1" s="1"/>
  <c r="Z84" i="1"/>
  <c r="AA84" i="1" s="1"/>
  <c r="Z85" i="1"/>
  <c r="Z86" i="1"/>
  <c r="AA86" i="1" s="1"/>
  <c r="Z94" i="1"/>
  <c r="AA94" i="1" s="1"/>
  <c r="Z95" i="1"/>
  <c r="AA95" i="1" s="1"/>
  <c r="Z96" i="1"/>
  <c r="AA96" i="1" s="1"/>
  <c r="Z97" i="1"/>
  <c r="AA97" i="1" s="1"/>
  <c r="Z98" i="1"/>
  <c r="AA98" i="1" s="1"/>
  <c r="Z106" i="1"/>
  <c r="AA106" i="1" s="1"/>
  <c r="Z107" i="1"/>
  <c r="Z108" i="1"/>
  <c r="AA108" i="1" s="1"/>
  <c r="Z109" i="1"/>
  <c r="AA109" i="1" s="1"/>
  <c r="Z110" i="1"/>
  <c r="AA110" i="1" s="1"/>
  <c r="Z118" i="1"/>
  <c r="Z119" i="1"/>
  <c r="AA119" i="1" s="1"/>
  <c r="Z120" i="1"/>
  <c r="AA120" i="1" s="1"/>
  <c r="Z121" i="1"/>
  <c r="AA121" i="1" s="1"/>
  <c r="Z122" i="1"/>
  <c r="Z130" i="1"/>
  <c r="AA130" i="1" s="1"/>
  <c r="Z131" i="1"/>
  <c r="AA131" i="1" s="1"/>
  <c r="Z132" i="1"/>
  <c r="AA132" i="1" s="1"/>
  <c r="Z133" i="1"/>
  <c r="AA133" i="1" s="1"/>
  <c r="Z134" i="1"/>
  <c r="AA134" i="1" s="1"/>
  <c r="Z142" i="1"/>
  <c r="AA142" i="1" s="1"/>
  <c r="Z143" i="1"/>
  <c r="AA143" i="1" s="1"/>
  <c r="Z144" i="1"/>
  <c r="AA144" i="1" s="1"/>
  <c r="Z145" i="1"/>
  <c r="AA145" i="1" s="1"/>
  <c r="Z146" i="1"/>
  <c r="AA146" i="1" s="1"/>
  <c r="Z154" i="1"/>
  <c r="AA154" i="1" s="1"/>
  <c r="Z155" i="1"/>
  <c r="Z156" i="1"/>
  <c r="AA156" i="1" s="1"/>
  <c r="Z157" i="1"/>
  <c r="AA157" i="1" s="1"/>
  <c r="Z158" i="1"/>
  <c r="AA158" i="1" s="1"/>
  <c r="Z166" i="1"/>
  <c r="Z167" i="1"/>
  <c r="AA167" i="1" s="1"/>
  <c r="Z168" i="1"/>
  <c r="AA168" i="1" s="1"/>
  <c r="Z169" i="1"/>
  <c r="AA169" i="1" s="1"/>
  <c r="Z170" i="1"/>
  <c r="AA170" i="1" s="1"/>
  <c r="Z178" i="1"/>
  <c r="AA178" i="1" s="1"/>
  <c r="Z179" i="1"/>
  <c r="AA179" i="1" s="1"/>
  <c r="Z180" i="1"/>
  <c r="AA180" i="1" s="1"/>
  <c r="Z181" i="1"/>
  <c r="AA181" i="1" s="1"/>
  <c r="Z182" i="1"/>
  <c r="AA182" i="1" s="1"/>
  <c r="Z190" i="1"/>
  <c r="AA190" i="1" s="1"/>
  <c r="Z191" i="1"/>
  <c r="AA191" i="1" s="1"/>
  <c r="Z192" i="1"/>
  <c r="AA192" i="1" s="1"/>
  <c r="Z193" i="1"/>
  <c r="AA193" i="1" s="1"/>
  <c r="Z194" i="1"/>
  <c r="AA194" i="1" s="1"/>
  <c r="Z202" i="1"/>
  <c r="AA202" i="1" s="1"/>
  <c r="Z203" i="1"/>
  <c r="AA203" i="1" s="1"/>
  <c r="Z204" i="1"/>
  <c r="AA204" i="1" s="1"/>
  <c r="Z205" i="1"/>
  <c r="AA205" i="1" s="1"/>
  <c r="Z206" i="1"/>
  <c r="AA206" i="1" s="1"/>
  <c r="Z214" i="1"/>
  <c r="AA214" i="1" s="1"/>
  <c r="Z215" i="1"/>
  <c r="AA215" i="1" s="1"/>
  <c r="Z216" i="1"/>
  <c r="AA216" i="1" s="1"/>
  <c r="Z217" i="1"/>
  <c r="AA217" i="1" s="1"/>
  <c r="Z218" i="1"/>
  <c r="AA218" i="1" s="1"/>
  <c r="Z226" i="1"/>
  <c r="AA226" i="1" s="1"/>
  <c r="Z227" i="1"/>
  <c r="AA227" i="1" s="1"/>
  <c r="Z228" i="1"/>
  <c r="AA228" i="1" s="1"/>
  <c r="Z229" i="1"/>
  <c r="AA229" i="1" s="1"/>
  <c r="Z230" i="1"/>
  <c r="AA230" i="1" s="1"/>
  <c r="Z238" i="1"/>
  <c r="AA238" i="1" s="1"/>
  <c r="Z239" i="1"/>
  <c r="AA239" i="1" s="1"/>
  <c r="Z240" i="1"/>
  <c r="AA240" i="1" s="1"/>
  <c r="Z241" i="1"/>
  <c r="AA241" i="1" s="1"/>
  <c r="Z242" i="1"/>
  <c r="AA242" i="1" s="1"/>
  <c r="Z250" i="1"/>
  <c r="AA250" i="1" s="1"/>
  <c r="Z251" i="1"/>
  <c r="AA251" i="1" s="1"/>
  <c r="Z252" i="1"/>
  <c r="AA252" i="1" s="1"/>
  <c r="Z253" i="1"/>
  <c r="AA253" i="1" s="1"/>
  <c r="Z254" i="1"/>
  <c r="AA254" i="1" s="1"/>
  <c r="Z262" i="1"/>
  <c r="AA262" i="1" s="1"/>
  <c r="Z263" i="1"/>
  <c r="AA263" i="1" s="1"/>
  <c r="Z264" i="1"/>
  <c r="AA264" i="1" s="1"/>
  <c r="Z265" i="1"/>
  <c r="AA265" i="1" s="1"/>
  <c r="Z266" i="1"/>
  <c r="AA266" i="1" s="1"/>
  <c r="Z274" i="1"/>
  <c r="AA274" i="1" s="1"/>
  <c r="Z275" i="1"/>
  <c r="AA275" i="1" s="1"/>
  <c r="Z276" i="1"/>
  <c r="AA276" i="1" s="1"/>
  <c r="Z277" i="1"/>
  <c r="AA277" i="1" s="1"/>
  <c r="Z278" i="1"/>
  <c r="AA278" i="1" s="1"/>
  <c r="Z286" i="1"/>
  <c r="AA286" i="1" s="1"/>
  <c r="Z287" i="1"/>
  <c r="AA287" i="1" s="1"/>
  <c r="Z288" i="1"/>
  <c r="AA288" i="1" s="1"/>
  <c r="Z289" i="1"/>
  <c r="AA289" i="1" s="1"/>
  <c r="Z290" i="1"/>
  <c r="AA290" i="1" s="1"/>
  <c r="Z298" i="1"/>
  <c r="AA298" i="1" s="1"/>
  <c r="Z299" i="1"/>
  <c r="AA299" i="1" s="1"/>
  <c r="Z300" i="1"/>
  <c r="AA300" i="1" s="1"/>
  <c r="Z301" i="1"/>
  <c r="AA301" i="1" s="1"/>
  <c r="Z302" i="1"/>
  <c r="AA302" i="1" s="1"/>
  <c r="Z310" i="1"/>
  <c r="AA310" i="1" s="1"/>
  <c r="Z311" i="1"/>
  <c r="AA311" i="1" s="1"/>
  <c r="Z312" i="1"/>
  <c r="AA312" i="1" s="1"/>
  <c r="Z313" i="1"/>
  <c r="AA313" i="1" s="1"/>
  <c r="Z314" i="1"/>
  <c r="AA314" i="1" s="1"/>
  <c r="Z322" i="1"/>
  <c r="AA322" i="1" s="1"/>
  <c r="Z323" i="1"/>
  <c r="AA323" i="1" s="1"/>
  <c r="Z324" i="1"/>
  <c r="AA324" i="1" s="1"/>
  <c r="Z325" i="1"/>
  <c r="AA325" i="1" s="1"/>
  <c r="Z326" i="1"/>
  <c r="AA326" i="1" s="1"/>
  <c r="Z334" i="1"/>
  <c r="AA334" i="1" s="1"/>
  <c r="Z335" i="1"/>
  <c r="AA335" i="1" s="1"/>
  <c r="Z336" i="1"/>
  <c r="AA336" i="1" s="1"/>
  <c r="Z337" i="1"/>
  <c r="AA337" i="1" s="1"/>
  <c r="Z338" i="1"/>
  <c r="AA338" i="1" s="1"/>
  <c r="Z346" i="1"/>
  <c r="AA346" i="1" s="1"/>
  <c r="Z347" i="1"/>
  <c r="AA347" i="1" s="1"/>
  <c r="Z348" i="1"/>
  <c r="AA348" i="1" s="1"/>
  <c r="Z349" i="1"/>
  <c r="AA349" i="1" s="1"/>
  <c r="Z350" i="1"/>
  <c r="AA350" i="1" s="1"/>
  <c r="Z358" i="1"/>
  <c r="AA358" i="1" s="1"/>
  <c r="Z359" i="1"/>
  <c r="AA359" i="1" s="1"/>
  <c r="Z360" i="1"/>
  <c r="AA360" i="1" s="1"/>
  <c r="Z361" i="1"/>
  <c r="AA361" i="1" s="1"/>
  <c r="Z362" i="1"/>
  <c r="AA362" i="1" s="1"/>
  <c r="Z370" i="1"/>
  <c r="AA370" i="1" s="1"/>
  <c r="Z371" i="1"/>
  <c r="AA371" i="1" s="1"/>
  <c r="Z372" i="1"/>
  <c r="AA372" i="1" s="1"/>
  <c r="Z373" i="1"/>
  <c r="AA373" i="1" s="1"/>
  <c r="Z374" i="1"/>
  <c r="AA374" i="1" s="1"/>
  <c r="Z382" i="1"/>
  <c r="AA382" i="1" s="1"/>
  <c r="Z383" i="1"/>
  <c r="AA383" i="1" s="1"/>
  <c r="Z384" i="1"/>
  <c r="AA384" i="1" s="1"/>
  <c r="Z385" i="1"/>
  <c r="AA385" i="1" s="1"/>
  <c r="Z386" i="1"/>
  <c r="AA386" i="1" s="1"/>
  <c r="Z394" i="1"/>
  <c r="AA394" i="1" s="1"/>
  <c r="Z395" i="1"/>
  <c r="AA395" i="1" s="1"/>
  <c r="Z396" i="1"/>
  <c r="AA396" i="1" s="1"/>
  <c r="Z397" i="1"/>
  <c r="AA397" i="1" s="1"/>
  <c r="Z398" i="1"/>
  <c r="AA398" i="1" s="1"/>
  <c r="Z406" i="1"/>
  <c r="AA406" i="1" s="1"/>
  <c r="Z407" i="1"/>
  <c r="AA407" i="1" s="1"/>
  <c r="Z408" i="1"/>
  <c r="AA408" i="1" s="1"/>
  <c r="Z409" i="1"/>
  <c r="AA409" i="1" s="1"/>
  <c r="Z410" i="1"/>
  <c r="AA410" i="1" s="1"/>
  <c r="Z418" i="1"/>
  <c r="AA418" i="1" s="1"/>
  <c r="Z419" i="1"/>
  <c r="AA419" i="1" s="1"/>
  <c r="Z420" i="1"/>
  <c r="AA420" i="1" s="1"/>
  <c r="Z421" i="1"/>
  <c r="AA421" i="1" s="1"/>
  <c r="Z422" i="1"/>
  <c r="AA422" i="1" s="1"/>
  <c r="Z430" i="1"/>
  <c r="AA430" i="1" s="1"/>
  <c r="Z431" i="1"/>
  <c r="AA431" i="1" s="1"/>
  <c r="Z432" i="1"/>
  <c r="AA432" i="1" s="1"/>
  <c r="Z433" i="1"/>
  <c r="AA433" i="1" s="1"/>
  <c r="Z434" i="1"/>
  <c r="AA434" i="1" s="1"/>
  <c r="Z442" i="1"/>
  <c r="AA442" i="1" s="1"/>
  <c r="Z443" i="1"/>
  <c r="AA443" i="1" s="1"/>
  <c r="Z444" i="1"/>
  <c r="AA444" i="1" s="1"/>
  <c r="Z445" i="1"/>
  <c r="AA445" i="1" s="1"/>
  <c r="Z446" i="1"/>
  <c r="AA446" i="1" s="1"/>
  <c r="Z454" i="1"/>
  <c r="AA454" i="1" s="1"/>
  <c r="Z455" i="1"/>
  <c r="AA455" i="1" s="1"/>
  <c r="Z456" i="1"/>
  <c r="AA456" i="1" s="1"/>
  <c r="Z457" i="1"/>
  <c r="AA457" i="1" s="1"/>
  <c r="Z458" i="1"/>
  <c r="AA458" i="1" s="1"/>
  <c r="Z466" i="1"/>
  <c r="AA466" i="1" s="1"/>
  <c r="Z467" i="1"/>
  <c r="AA467" i="1" s="1"/>
  <c r="Z468" i="1"/>
  <c r="AA468" i="1" s="1"/>
  <c r="Z469" i="1"/>
  <c r="AA469" i="1" s="1"/>
  <c r="Z470" i="1"/>
  <c r="AA470" i="1" s="1"/>
  <c r="Z478" i="1"/>
  <c r="AA478" i="1" s="1"/>
  <c r="Z479" i="1"/>
  <c r="AA479" i="1" s="1"/>
  <c r="Z480" i="1"/>
  <c r="AA480" i="1" s="1"/>
  <c r="Z481" i="1"/>
  <c r="AA481" i="1" s="1"/>
  <c r="Z482" i="1"/>
  <c r="AA482" i="1" s="1"/>
  <c r="Z490" i="1"/>
  <c r="AA490" i="1" s="1"/>
  <c r="Z491" i="1"/>
  <c r="AA491" i="1" s="1"/>
  <c r="Z492" i="1"/>
  <c r="AA492" i="1" s="1"/>
  <c r="Z493" i="1"/>
  <c r="AA493" i="1" s="1"/>
  <c r="Z494" i="1"/>
  <c r="AA494" i="1" s="1"/>
  <c r="Z502" i="1"/>
  <c r="AA502" i="1" s="1"/>
  <c r="Z503" i="1"/>
  <c r="AA503" i="1" s="1"/>
  <c r="Z504" i="1"/>
  <c r="AA504" i="1" s="1"/>
  <c r="Z505" i="1"/>
  <c r="AA505" i="1" s="1"/>
  <c r="Z506" i="1"/>
  <c r="AA506" i="1" s="1"/>
  <c r="Z514" i="1"/>
  <c r="AA514" i="1" s="1"/>
  <c r="Z515" i="1"/>
  <c r="AA515" i="1" s="1"/>
  <c r="Z516" i="1"/>
  <c r="AA516" i="1" s="1"/>
  <c r="Z517" i="1"/>
  <c r="AA517" i="1" s="1"/>
  <c r="Z518" i="1"/>
  <c r="AA518" i="1" s="1"/>
  <c r="Z526" i="1"/>
  <c r="AA526" i="1" s="1"/>
  <c r="Z527" i="1"/>
  <c r="AA527" i="1" s="1"/>
  <c r="Z528" i="1"/>
  <c r="AA528" i="1" s="1"/>
  <c r="Z529" i="1"/>
  <c r="AA529" i="1" s="1"/>
  <c r="Z530" i="1"/>
  <c r="AA530" i="1" s="1"/>
  <c r="Z538" i="1"/>
  <c r="AA538" i="1" s="1"/>
  <c r="Z539" i="1"/>
  <c r="AA539" i="1" s="1"/>
  <c r="Z540" i="1"/>
  <c r="AA540" i="1" s="1"/>
  <c r="Z541" i="1"/>
  <c r="AA541" i="1" s="1"/>
  <c r="Z542" i="1"/>
  <c r="AA542" i="1" s="1"/>
  <c r="Z550" i="1"/>
  <c r="AA550" i="1" s="1"/>
  <c r="Z551" i="1"/>
  <c r="AA551" i="1" s="1"/>
  <c r="Z552" i="1"/>
  <c r="AA552" i="1" s="1"/>
  <c r="Z553" i="1"/>
  <c r="AA553" i="1" s="1"/>
  <c r="Z554" i="1"/>
  <c r="AA554" i="1" s="1"/>
  <c r="Z562" i="1"/>
  <c r="AA562" i="1" s="1"/>
  <c r="Z563" i="1"/>
  <c r="AA563" i="1" s="1"/>
  <c r="Z564" i="1"/>
  <c r="AA564" i="1" s="1"/>
  <c r="Z565" i="1"/>
  <c r="AA565" i="1" s="1"/>
  <c r="Z566" i="1"/>
  <c r="AA566" i="1" s="1"/>
  <c r="Z574" i="1"/>
  <c r="AA574" i="1" s="1"/>
  <c r="Z575" i="1"/>
  <c r="AA575" i="1" s="1"/>
  <c r="Z576" i="1"/>
  <c r="AA576" i="1" s="1"/>
  <c r="Z577" i="1"/>
  <c r="AA577" i="1" s="1"/>
  <c r="Z578" i="1"/>
  <c r="AA578" i="1" s="1"/>
  <c r="Z586" i="1"/>
  <c r="AA586" i="1" s="1"/>
  <c r="Z587" i="1"/>
  <c r="AA587" i="1" s="1"/>
  <c r="Z588" i="1"/>
  <c r="AA588" i="1" s="1"/>
  <c r="Z589" i="1"/>
  <c r="AA589" i="1" s="1"/>
  <c r="Z590" i="1"/>
  <c r="AA590" i="1" s="1"/>
  <c r="Z598" i="1"/>
  <c r="AA598" i="1" s="1"/>
  <c r="Z599" i="1"/>
  <c r="AA599" i="1" s="1"/>
  <c r="Z600" i="1"/>
  <c r="AA600" i="1" s="1"/>
  <c r="Z601" i="1"/>
  <c r="AA601" i="1" s="1"/>
  <c r="Z602" i="1"/>
  <c r="AA602" i="1" s="1"/>
  <c r="Z610" i="1"/>
  <c r="AA610" i="1" s="1"/>
  <c r="Z611" i="1"/>
  <c r="AA611" i="1" s="1"/>
  <c r="Z612" i="1"/>
  <c r="AA612" i="1" s="1"/>
  <c r="Z613" i="1"/>
  <c r="AA613" i="1" s="1"/>
  <c r="Z614" i="1"/>
  <c r="AA614" i="1" s="1"/>
  <c r="Z622" i="1"/>
  <c r="AA622" i="1" s="1"/>
  <c r="Z623" i="1"/>
  <c r="AA623" i="1" s="1"/>
  <c r="Z624" i="1"/>
  <c r="AA624" i="1" s="1"/>
  <c r="Z625" i="1"/>
  <c r="AA625" i="1" s="1"/>
  <c r="Z626" i="1"/>
  <c r="AA626" i="1" s="1"/>
  <c r="Z634" i="1"/>
  <c r="AA634" i="1" s="1"/>
  <c r="Z635" i="1"/>
  <c r="AA635" i="1" s="1"/>
  <c r="Z636" i="1"/>
  <c r="AA636" i="1" s="1"/>
  <c r="Z637" i="1"/>
  <c r="AA637" i="1" s="1"/>
  <c r="Z638" i="1"/>
  <c r="AA638" i="1" s="1"/>
  <c r="Z646" i="1"/>
  <c r="AA646" i="1" s="1"/>
  <c r="Z647" i="1"/>
  <c r="AA647" i="1" s="1"/>
  <c r="Z648" i="1"/>
  <c r="AA648" i="1" s="1"/>
  <c r="AA22" i="1"/>
  <c r="AA25" i="1"/>
  <c r="AA26" i="1"/>
  <c r="AA36" i="1"/>
  <c r="AA37" i="1"/>
  <c r="AA48" i="1"/>
  <c r="AA70" i="1"/>
  <c r="AA74" i="1"/>
  <c r="AA85" i="1"/>
  <c r="AA107" i="1"/>
  <c r="AA118" i="1"/>
  <c r="AA122" i="1"/>
  <c r="AA155" i="1"/>
  <c r="AA166" i="1"/>
  <c r="B15" i="1"/>
  <c r="C14" i="1"/>
  <c r="C240" i="13"/>
  <c r="D240" i="13" s="1"/>
  <c r="C242" i="13"/>
  <c r="D242" i="13" s="1"/>
  <c r="C243" i="13"/>
  <c r="D243" i="13" s="1"/>
  <c r="C244" i="13"/>
  <c r="D244" i="13" s="1"/>
  <c r="D245" i="13"/>
  <c r="D246" i="13"/>
  <c r="C241" i="13"/>
  <c r="D241" i="13" s="1"/>
  <c r="F22" i="1"/>
  <c r="F23" i="1"/>
  <c r="F24" i="1"/>
  <c r="F25" i="1"/>
  <c r="F26" i="1"/>
  <c r="F34" i="1"/>
  <c r="F35" i="1"/>
  <c r="F36" i="1"/>
  <c r="F37" i="1"/>
  <c r="N39" i="1"/>
  <c r="N40" i="1"/>
  <c r="N41" i="1"/>
  <c r="N42" i="1"/>
  <c r="N43" i="1"/>
  <c r="N44" i="1"/>
  <c r="N45" i="1"/>
  <c r="N51" i="1"/>
  <c r="N52" i="1"/>
  <c r="N53" i="1"/>
  <c r="N54" i="1"/>
  <c r="N55" i="1"/>
  <c r="N56" i="1"/>
  <c r="N57" i="1"/>
  <c r="N63" i="1"/>
  <c r="N147" i="1"/>
  <c r="N148" i="1"/>
  <c r="N149" i="1"/>
  <c r="N150" i="1"/>
  <c r="N151" i="1"/>
  <c r="N152" i="1"/>
  <c r="N153" i="1"/>
  <c r="N159" i="1"/>
  <c r="N160" i="1"/>
  <c r="N161" i="1"/>
  <c r="N162" i="1"/>
  <c r="N163" i="1"/>
  <c r="N164" i="1"/>
  <c r="N165" i="1"/>
  <c r="N171" i="1"/>
  <c r="N172" i="1"/>
  <c r="N173" i="1"/>
  <c r="N174" i="1"/>
  <c r="N175" i="1"/>
  <c r="N176" i="1"/>
  <c r="N177" i="1"/>
  <c r="N183" i="1"/>
  <c r="N184" i="1"/>
  <c r="N185" i="1"/>
  <c r="N186" i="1"/>
  <c r="N187" i="1"/>
  <c r="N188" i="1"/>
  <c r="N189" i="1"/>
  <c r="N195" i="1"/>
  <c r="N196" i="1"/>
  <c r="N197" i="1"/>
  <c r="N198" i="1"/>
  <c r="N199" i="1"/>
  <c r="N200" i="1"/>
  <c r="N201" i="1"/>
  <c r="N207" i="1"/>
  <c r="N208" i="1"/>
  <c r="N209" i="1"/>
  <c r="N210" i="1"/>
  <c r="N211" i="1"/>
  <c r="N212" i="1"/>
  <c r="N213" i="1"/>
  <c r="N219" i="1"/>
  <c r="N220" i="1"/>
  <c r="N221" i="1"/>
  <c r="N222" i="1"/>
  <c r="N223" i="1"/>
  <c r="N224" i="1"/>
  <c r="N225" i="1"/>
  <c r="N231" i="1"/>
  <c r="N232" i="1"/>
  <c r="N233" i="1"/>
  <c r="N234" i="1"/>
  <c r="N235" i="1"/>
  <c r="N236" i="1"/>
  <c r="N237" i="1"/>
  <c r="N243" i="1"/>
  <c r="N244" i="1"/>
  <c r="N245" i="1"/>
  <c r="N246" i="1"/>
  <c r="N247" i="1"/>
  <c r="N248" i="1"/>
  <c r="N249" i="1"/>
  <c r="N255" i="1"/>
  <c r="N256" i="1"/>
  <c r="N257" i="1"/>
  <c r="N258" i="1"/>
  <c r="N259" i="1"/>
  <c r="N260" i="1"/>
  <c r="N261" i="1"/>
  <c r="N267" i="1"/>
  <c r="N268" i="1"/>
  <c r="N269" i="1"/>
  <c r="N270" i="1"/>
  <c r="N271" i="1"/>
  <c r="N272" i="1"/>
  <c r="N273" i="1"/>
  <c r="N279" i="1"/>
  <c r="N280" i="1"/>
  <c r="N281" i="1"/>
  <c r="N282" i="1"/>
  <c r="N283" i="1"/>
  <c r="N284" i="1"/>
  <c r="N285" i="1"/>
  <c r="N291" i="1"/>
  <c r="N292" i="1"/>
  <c r="N293" i="1"/>
  <c r="N294" i="1"/>
  <c r="N295" i="1"/>
  <c r="N296" i="1"/>
  <c r="N297" i="1"/>
  <c r="N303" i="1"/>
  <c r="N304" i="1"/>
  <c r="N305" i="1"/>
  <c r="N306" i="1"/>
  <c r="N307" i="1"/>
  <c r="N308" i="1"/>
  <c r="N309" i="1"/>
  <c r="N315" i="1"/>
  <c r="N316" i="1"/>
  <c r="N317" i="1"/>
  <c r="N318" i="1"/>
  <c r="N319" i="1"/>
  <c r="N320" i="1"/>
  <c r="N321" i="1"/>
  <c r="N327" i="1"/>
  <c r="N328" i="1"/>
  <c r="N329" i="1"/>
  <c r="N330" i="1"/>
  <c r="N331" i="1"/>
  <c r="N332" i="1"/>
  <c r="N333" i="1"/>
  <c r="N339" i="1"/>
  <c r="N340" i="1"/>
  <c r="N341" i="1"/>
  <c r="N342" i="1"/>
  <c r="N343" i="1"/>
  <c r="N344" i="1"/>
  <c r="N345" i="1"/>
  <c r="N351" i="1"/>
  <c r="N352" i="1"/>
  <c r="N353" i="1"/>
  <c r="N354" i="1"/>
  <c r="N355" i="1"/>
  <c r="N356" i="1"/>
  <c r="N357" i="1"/>
  <c r="N363" i="1"/>
  <c r="N364" i="1"/>
  <c r="N365" i="1"/>
  <c r="N366" i="1"/>
  <c r="N367" i="1"/>
  <c r="N368" i="1"/>
  <c r="N369" i="1"/>
  <c r="N375" i="1"/>
  <c r="N376" i="1"/>
  <c r="N377" i="1"/>
  <c r="N378" i="1"/>
  <c r="N379" i="1"/>
  <c r="N380" i="1"/>
  <c r="N381" i="1"/>
  <c r="N387" i="1"/>
  <c r="N388" i="1"/>
  <c r="N389" i="1"/>
  <c r="N390" i="1"/>
  <c r="N391" i="1"/>
  <c r="N392" i="1"/>
  <c r="N393" i="1"/>
  <c r="N399" i="1"/>
  <c r="N400" i="1"/>
  <c r="N401" i="1"/>
  <c r="N402" i="1"/>
  <c r="N403" i="1"/>
  <c r="N404" i="1"/>
  <c r="N405" i="1"/>
  <c r="N411" i="1"/>
  <c r="N412" i="1"/>
  <c r="N413" i="1"/>
  <c r="N414" i="1"/>
  <c r="N415" i="1"/>
  <c r="N416" i="1"/>
  <c r="N417" i="1"/>
  <c r="N423" i="1"/>
  <c r="N424" i="1"/>
  <c r="N425" i="1"/>
  <c r="N426" i="1"/>
  <c r="N427" i="1"/>
  <c r="N428" i="1"/>
  <c r="N429" i="1"/>
  <c r="N435" i="1"/>
  <c r="N436" i="1"/>
  <c r="N437" i="1"/>
  <c r="N438" i="1"/>
  <c r="N439" i="1"/>
  <c r="N440" i="1"/>
  <c r="N441" i="1"/>
  <c r="N447" i="1"/>
  <c r="N448" i="1"/>
  <c r="N449" i="1"/>
  <c r="N450" i="1"/>
  <c r="N451" i="1"/>
  <c r="N452" i="1"/>
  <c r="N453" i="1"/>
  <c r="N459" i="1"/>
  <c r="N460" i="1"/>
  <c r="N461" i="1"/>
  <c r="N462" i="1"/>
  <c r="N463" i="1"/>
  <c r="N464" i="1"/>
  <c r="N465" i="1"/>
  <c r="N471" i="1"/>
  <c r="N472" i="1"/>
  <c r="N473" i="1"/>
  <c r="N474" i="1"/>
  <c r="N475" i="1"/>
  <c r="N476" i="1"/>
  <c r="N477" i="1"/>
  <c r="N483" i="1"/>
  <c r="N484" i="1"/>
  <c r="N485" i="1"/>
  <c r="N486" i="1"/>
  <c r="N487" i="1"/>
  <c r="N488" i="1"/>
  <c r="N489" i="1"/>
  <c r="N495" i="1"/>
  <c r="N496" i="1"/>
  <c r="N497" i="1"/>
  <c r="N498" i="1"/>
  <c r="N499" i="1"/>
  <c r="N500" i="1"/>
  <c r="N501" i="1"/>
  <c r="N507" i="1"/>
  <c r="N508" i="1"/>
  <c r="N509" i="1"/>
  <c r="N510" i="1"/>
  <c r="N511" i="1"/>
  <c r="N512" i="1"/>
  <c r="N513" i="1"/>
  <c r="N519" i="1"/>
  <c r="N520" i="1"/>
  <c r="N521" i="1"/>
  <c r="N522" i="1"/>
  <c r="N523" i="1"/>
  <c r="N524" i="1"/>
  <c r="N525" i="1"/>
  <c r="N531" i="1"/>
  <c r="N532" i="1"/>
  <c r="N533" i="1"/>
  <c r="N534" i="1"/>
  <c r="N535" i="1"/>
  <c r="N536" i="1"/>
  <c r="N537" i="1"/>
  <c r="N543" i="1"/>
  <c r="N544" i="1"/>
  <c r="N545" i="1"/>
  <c r="N546" i="1"/>
  <c r="N547" i="1"/>
  <c r="N548" i="1"/>
  <c r="N549" i="1"/>
  <c r="N555" i="1"/>
  <c r="N556" i="1"/>
  <c r="N557" i="1"/>
  <c r="N558" i="1"/>
  <c r="N559" i="1"/>
  <c r="N560" i="1"/>
  <c r="N561" i="1"/>
  <c r="N567" i="1"/>
  <c r="N568" i="1"/>
  <c r="N569" i="1"/>
  <c r="N570" i="1"/>
  <c r="N571" i="1"/>
  <c r="N572" i="1"/>
  <c r="N573" i="1"/>
  <c r="N579" i="1"/>
  <c r="N580" i="1"/>
  <c r="N581" i="1"/>
  <c r="N582" i="1"/>
  <c r="N583" i="1"/>
  <c r="N584" i="1"/>
  <c r="N585" i="1"/>
  <c r="N591" i="1"/>
  <c r="N592" i="1"/>
  <c r="N593" i="1"/>
  <c r="N594" i="1"/>
  <c r="N595" i="1"/>
  <c r="N596" i="1"/>
  <c r="N597" i="1"/>
  <c r="N603" i="1"/>
  <c r="N604" i="1"/>
  <c r="N605" i="1"/>
  <c r="N606" i="1"/>
  <c r="N607" i="1"/>
  <c r="N608" i="1"/>
  <c r="N609" i="1"/>
  <c r="N615" i="1"/>
  <c r="N616" i="1"/>
  <c r="N617" i="1"/>
  <c r="N618" i="1"/>
  <c r="N619" i="1"/>
  <c r="N620" i="1"/>
  <c r="N621" i="1"/>
  <c r="N627" i="1"/>
  <c r="N628" i="1"/>
  <c r="N629" i="1"/>
  <c r="N630" i="1"/>
  <c r="N631" i="1"/>
  <c r="N632" i="1"/>
  <c r="N633" i="1"/>
  <c r="N639" i="1"/>
  <c r="N640" i="1"/>
  <c r="N641" i="1"/>
  <c r="N642" i="1"/>
  <c r="N643" i="1"/>
  <c r="N644" i="1"/>
  <c r="N645" i="1"/>
  <c r="D252" i="13"/>
  <c r="C252" i="13"/>
  <c r="F245" i="13"/>
  <c r="E267" i="13"/>
  <c r="E268" i="13"/>
  <c r="E269" i="13"/>
  <c r="E270" i="13"/>
  <c r="E271" i="13"/>
  <c r="E272" i="13"/>
  <c r="E273" i="13"/>
  <c r="E254" i="13"/>
  <c r="E255" i="13"/>
  <c r="E256" i="13"/>
  <c r="E257" i="13"/>
  <c r="E258" i="13"/>
  <c r="E259" i="13"/>
  <c r="E260" i="13"/>
  <c r="E261" i="13"/>
  <c r="E262" i="13"/>
  <c r="E263" i="13"/>
  <c r="E264" i="13"/>
  <c r="E265" i="13"/>
  <c r="E266" i="13"/>
  <c r="E253" i="13"/>
  <c r="G34" i="1"/>
  <c r="G35" i="1"/>
  <c r="G36" i="1"/>
  <c r="G37" i="1"/>
  <c r="G22" i="1"/>
  <c r="G23" i="1"/>
  <c r="G24" i="1"/>
  <c r="G25" i="1"/>
  <c r="G26" i="1"/>
  <c r="E34" i="1"/>
  <c r="E35" i="1"/>
  <c r="E36" i="1"/>
  <c r="E37" i="1"/>
  <c r="E22" i="1"/>
  <c r="E23" i="1"/>
  <c r="E24" i="1"/>
  <c r="E25" i="1"/>
  <c r="E26" i="1"/>
  <c r="D14" i="1"/>
  <c r="F246" i="13"/>
  <c r="E241" i="13"/>
  <c r="F241" i="13" s="1"/>
  <c r="E242" i="13"/>
  <c r="F242" i="13" s="1"/>
  <c r="E243" i="13"/>
  <c r="F243" i="13" s="1"/>
  <c r="E244" i="13"/>
  <c r="F244" i="13" s="1"/>
  <c r="E240" i="13"/>
  <c r="F240" i="13" s="1"/>
  <c r="F238" i="13"/>
  <c r="D238" i="13"/>
  <c r="E238" i="13"/>
  <c r="C238" i="13"/>
  <c r="E237" i="13"/>
  <c r="C237" i="13"/>
  <c r="W39" i="1"/>
  <c r="W40" i="1"/>
  <c r="W41" i="1"/>
  <c r="W42" i="1"/>
  <c r="W43" i="1"/>
  <c r="W44" i="1"/>
  <c r="W45" i="1"/>
  <c r="W51" i="1"/>
  <c r="W52" i="1"/>
  <c r="W53" i="1"/>
  <c r="W54" i="1"/>
  <c r="W55" i="1"/>
  <c r="W56" i="1"/>
  <c r="W57" i="1"/>
  <c r="W63" i="1"/>
  <c r="W147" i="1"/>
  <c r="W148" i="1"/>
  <c r="W149" i="1"/>
  <c r="W150" i="1"/>
  <c r="W151" i="1"/>
  <c r="W152" i="1"/>
  <c r="W153" i="1"/>
  <c r="W159" i="1"/>
  <c r="W160" i="1"/>
  <c r="W161" i="1"/>
  <c r="W162" i="1"/>
  <c r="W163" i="1"/>
  <c r="W164" i="1"/>
  <c r="W165" i="1"/>
  <c r="W171" i="1"/>
  <c r="W172" i="1"/>
  <c r="W173" i="1"/>
  <c r="W174" i="1"/>
  <c r="W175" i="1"/>
  <c r="W176" i="1"/>
  <c r="W177" i="1"/>
  <c r="W183" i="1"/>
  <c r="W184" i="1"/>
  <c r="W185" i="1"/>
  <c r="W186" i="1"/>
  <c r="W187" i="1"/>
  <c r="W188" i="1"/>
  <c r="W189" i="1"/>
  <c r="W195" i="1"/>
  <c r="W196" i="1"/>
  <c r="W197" i="1"/>
  <c r="W198" i="1"/>
  <c r="W199" i="1"/>
  <c r="W200" i="1"/>
  <c r="W201" i="1"/>
  <c r="W207" i="1"/>
  <c r="W208" i="1"/>
  <c r="W209" i="1"/>
  <c r="W210" i="1"/>
  <c r="W211" i="1"/>
  <c r="W212" i="1"/>
  <c r="W213" i="1"/>
  <c r="W219" i="1"/>
  <c r="W220" i="1"/>
  <c r="W221" i="1"/>
  <c r="W222" i="1"/>
  <c r="W223" i="1"/>
  <c r="W224" i="1"/>
  <c r="W225" i="1"/>
  <c r="W231" i="1"/>
  <c r="W232" i="1"/>
  <c r="W233" i="1"/>
  <c r="W234" i="1"/>
  <c r="W235" i="1"/>
  <c r="W236" i="1"/>
  <c r="W237" i="1"/>
  <c r="W243" i="1"/>
  <c r="W244" i="1"/>
  <c r="W245" i="1"/>
  <c r="W246" i="1"/>
  <c r="W247" i="1"/>
  <c r="W248" i="1"/>
  <c r="W249" i="1"/>
  <c r="W255" i="1"/>
  <c r="W256" i="1"/>
  <c r="W257" i="1"/>
  <c r="W258" i="1"/>
  <c r="W259" i="1"/>
  <c r="W260" i="1"/>
  <c r="W261" i="1"/>
  <c r="W267" i="1"/>
  <c r="W268" i="1"/>
  <c r="W269" i="1"/>
  <c r="W270" i="1"/>
  <c r="W271" i="1"/>
  <c r="W272" i="1"/>
  <c r="W273" i="1"/>
  <c r="W279" i="1"/>
  <c r="W280" i="1"/>
  <c r="W281" i="1"/>
  <c r="W282" i="1"/>
  <c r="W283" i="1"/>
  <c r="W284" i="1"/>
  <c r="W285" i="1"/>
  <c r="W291" i="1"/>
  <c r="W292" i="1"/>
  <c r="W293" i="1"/>
  <c r="W294" i="1"/>
  <c r="W295" i="1"/>
  <c r="W296" i="1"/>
  <c r="W297" i="1"/>
  <c r="W303" i="1"/>
  <c r="W304" i="1"/>
  <c r="W305" i="1"/>
  <c r="W306" i="1"/>
  <c r="W307" i="1"/>
  <c r="W308" i="1"/>
  <c r="W309" i="1"/>
  <c r="W315" i="1"/>
  <c r="W316" i="1"/>
  <c r="W317" i="1"/>
  <c r="W318" i="1"/>
  <c r="W319" i="1"/>
  <c r="W320" i="1"/>
  <c r="W321" i="1"/>
  <c r="W327" i="1"/>
  <c r="W328" i="1"/>
  <c r="W329" i="1"/>
  <c r="W330" i="1"/>
  <c r="W331" i="1"/>
  <c r="W332" i="1"/>
  <c r="W333" i="1"/>
  <c r="W339" i="1"/>
  <c r="W340" i="1"/>
  <c r="W341" i="1"/>
  <c r="W342" i="1"/>
  <c r="W343" i="1"/>
  <c r="W344" i="1"/>
  <c r="W345" i="1"/>
  <c r="W351" i="1"/>
  <c r="W352" i="1"/>
  <c r="W353" i="1"/>
  <c r="W354" i="1"/>
  <c r="W355" i="1"/>
  <c r="W356" i="1"/>
  <c r="W357" i="1"/>
  <c r="W363" i="1"/>
  <c r="W364" i="1"/>
  <c r="W365" i="1"/>
  <c r="W366" i="1"/>
  <c r="W367" i="1"/>
  <c r="W368" i="1"/>
  <c r="W369" i="1"/>
  <c r="W375" i="1"/>
  <c r="W376" i="1"/>
  <c r="W377" i="1"/>
  <c r="W378" i="1"/>
  <c r="W379" i="1"/>
  <c r="W380" i="1"/>
  <c r="W381" i="1"/>
  <c r="W387" i="1"/>
  <c r="W388" i="1"/>
  <c r="W389" i="1"/>
  <c r="W390" i="1"/>
  <c r="W391" i="1"/>
  <c r="W392" i="1"/>
  <c r="W393" i="1"/>
  <c r="W399" i="1"/>
  <c r="W400" i="1"/>
  <c r="W401" i="1"/>
  <c r="W402" i="1"/>
  <c r="W403" i="1"/>
  <c r="W404" i="1"/>
  <c r="W405" i="1"/>
  <c r="W411" i="1"/>
  <c r="W412" i="1"/>
  <c r="W413" i="1"/>
  <c r="W414" i="1"/>
  <c r="W415" i="1"/>
  <c r="W416" i="1"/>
  <c r="W417" i="1"/>
  <c r="W423" i="1"/>
  <c r="W424" i="1"/>
  <c r="W425" i="1"/>
  <c r="W426" i="1"/>
  <c r="W427" i="1"/>
  <c r="W428" i="1"/>
  <c r="W429" i="1"/>
  <c r="W435" i="1"/>
  <c r="W436" i="1"/>
  <c r="W437" i="1"/>
  <c r="W438" i="1"/>
  <c r="W439" i="1"/>
  <c r="W440" i="1"/>
  <c r="W441" i="1"/>
  <c r="W447" i="1"/>
  <c r="W448" i="1"/>
  <c r="W449" i="1"/>
  <c r="W450" i="1"/>
  <c r="W451" i="1"/>
  <c r="W452" i="1"/>
  <c r="W453" i="1"/>
  <c r="W459" i="1"/>
  <c r="W460" i="1"/>
  <c r="W461" i="1"/>
  <c r="W462" i="1"/>
  <c r="W463" i="1"/>
  <c r="W464" i="1"/>
  <c r="W465" i="1"/>
  <c r="W471" i="1"/>
  <c r="W472" i="1"/>
  <c r="W473" i="1"/>
  <c r="W474" i="1"/>
  <c r="W475" i="1"/>
  <c r="W476" i="1"/>
  <c r="W477" i="1"/>
  <c r="W483" i="1"/>
  <c r="W484" i="1"/>
  <c r="W485" i="1"/>
  <c r="W486" i="1"/>
  <c r="W487" i="1"/>
  <c r="W488" i="1"/>
  <c r="W489" i="1"/>
  <c r="W495" i="1"/>
  <c r="W496" i="1"/>
  <c r="W497" i="1"/>
  <c r="W498" i="1"/>
  <c r="W499" i="1"/>
  <c r="W500" i="1"/>
  <c r="W501" i="1"/>
  <c r="W507" i="1"/>
  <c r="W508" i="1"/>
  <c r="W509" i="1"/>
  <c r="W510" i="1"/>
  <c r="W511" i="1"/>
  <c r="W512" i="1"/>
  <c r="W513" i="1"/>
  <c r="W519" i="1"/>
  <c r="W520" i="1"/>
  <c r="W521" i="1"/>
  <c r="W522" i="1"/>
  <c r="W523" i="1"/>
  <c r="W524" i="1"/>
  <c r="W525" i="1"/>
  <c r="W531" i="1"/>
  <c r="W532" i="1"/>
  <c r="W533" i="1"/>
  <c r="W534" i="1"/>
  <c r="W535" i="1"/>
  <c r="W536" i="1"/>
  <c r="W537" i="1"/>
  <c r="W543" i="1"/>
  <c r="W544" i="1"/>
  <c r="W545" i="1"/>
  <c r="W546" i="1"/>
  <c r="W547" i="1"/>
  <c r="W548" i="1"/>
  <c r="W549" i="1"/>
  <c r="W555" i="1"/>
  <c r="W556" i="1"/>
  <c r="W557" i="1"/>
  <c r="W558" i="1"/>
  <c r="W559" i="1"/>
  <c r="W560" i="1"/>
  <c r="W561" i="1"/>
  <c r="W567" i="1"/>
  <c r="W568" i="1"/>
  <c r="W569" i="1"/>
  <c r="W570" i="1"/>
  <c r="W571" i="1"/>
  <c r="W572" i="1"/>
  <c r="W573" i="1"/>
  <c r="W579" i="1"/>
  <c r="W580" i="1"/>
  <c r="W581" i="1"/>
  <c r="W582" i="1"/>
  <c r="W583" i="1"/>
  <c r="W584" i="1"/>
  <c r="W585" i="1"/>
  <c r="W591" i="1"/>
  <c r="W592" i="1"/>
  <c r="W593" i="1"/>
  <c r="W594" i="1"/>
  <c r="W595" i="1"/>
  <c r="W596" i="1"/>
  <c r="W597" i="1"/>
  <c r="W603" i="1"/>
  <c r="W604" i="1"/>
  <c r="W605" i="1"/>
  <c r="W606" i="1"/>
  <c r="W607" i="1"/>
  <c r="W608" i="1"/>
  <c r="W609" i="1"/>
  <c r="W615" i="1"/>
  <c r="W616" i="1"/>
  <c r="W617" i="1"/>
  <c r="W618" i="1"/>
  <c r="W619" i="1"/>
  <c r="W620" i="1"/>
  <c r="W621" i="1"/>
  <c r="W627" i="1"/>
  <c r="W628" i="1"/>
  <c r="W629" i="1"/>
  <c r="W630" i="1"/>
  <c r="W631" i="1"/>
  <c r="W632" i="1"/>
  <c r="W633" i="1"/>
  <c r="W639" i="1"/>
  <c r="W640" i="1"/>
  <c r="W641" i="1"/>
  <c r="W642" i="1"/>
  <c r="W643" i="1"/>
  <c r="W644" i="1"/>
  <c r="W645" i="1"/>
  <c r="B92" i="13"/>
  <c r="C8" i="1" s="1"/>
  <c r="U2" i="1"/>
  <c r="Q2" i="1" s="1"/>
  <c r="L2" i="1"/>
  <c r="H2" i="1" s="1"/>
  <c r="W33" i="1"/>
  <c r="N33" i="1"/>
  <c r="W32" i="1"/>
  <c r="N32" i="1"/>
  <c r="W31" i="1"/>
  <c r="N31" i="1"/>
  <c r="W30" i="1"/>
  <c r="N30" i="1"/>
  <c r="W29" i="1"/>
  <c r="N29" i="1"/>
  <c r="W28" i="1"/>
  <c r="N28" i="1"/>
  <c r="W27" i="1"/>
  <c r="N27" i="1"/>
  <c r="W21" i="1"/>
  <c r="N21" i="1"/>
  <c r="W20" i="1"/>
  <c r="N20" i="1"/>
  <c r="W19" i="1"/>
  <c r="N19" i="1"/>
  <c r="W18" i="1"/>
  <c r="N18" i="1"/>
  <c r="W17" i="1"/>
  <c r="N17" i="1"/>
  <c r="W16" i="1"/>
  <c r="N16" i="1"/>
  <c r="W15" i="1"/>
  <c r="N15" i="1"/>
  <c r="W1" i="1"/>
  <c r="Q1" i="1"/>
  <c r="N1" i="1"/>
  <c r="H1" i="1"/>
  <c r="B1" i="1"/>
  <c r="A29" i="13"/>
  <c r="A11" i="13"/>
  <c r="F15" i="1" l="1"/>
  <c r="E247" i="13"/>
  <c r="C248" i="13"/>
  <c r="G15" i="1"/>
  <c r="E15" i="1"/>
  <c r="B16" i="1"/>
  <c r="Z16" i="1" s="1"/>
  <c r="D247" i="13"/>
  <c r="C247" i="13"/>
  <c r="F247" i="13"/>
  <c r="E248" i="13"/>
  <c r="AB15" i="1"/>
  <c r="AC15" i="1" s="1"/>
  <c r="Z15" i="1"/>
  <c r="AA15" i="1" s="1"/>
  <c r="B17" i="1" l="1"/>
  <c r="Z17" i="1" s="1"/>
  <c r="AB16" i="1"/>
  <c r="AC16" i="1" s="1"/>
  <c r="B18" i="1"/>
  <c r="Z18" i="1" s="1"/>
  <c r="F16" i="1"/>
  <c r="G16" i="1"/>
  <c r="E16" i="1"/>
  <c r="A15" i="1"/>
  <c r="E18" i="1"/>
  <c r="E17" i="1" l="1"/>
  <c r="AB18" i="1"/>
  <c r="AC18" i="1" s="1"/>
  <c r="AB17" i="1"/>
  <c r="AC17" i="1" s="1"/>
  <c r="L17" i="1"/>
  <c r="L18" i="1"/>
  <c r="L15" i="1"/>
  <c r="L16" i="1"/>
  <c r="AA16" i="1"/>
  <c r="F18" i="1"/>
  <c r="B19" i="1"/>
  <c r="AB19" i="1" s="1"/>
  <c r="AC19" i="1" s="1"/>
  <c r="G18" i="1"/>
  <c r="F17" i="1"/>
  <c r="AA17" i="1"/>
  <c r="G17" i="1"/>
  <c r="AA18" i="1"/>
  <c r="U16" i="1" l="1"/>
  <c r="D16" i="1" s="1"/>
  <c r="C16" i="1"/>
  <c r="U15" i="1"/>
  <c r="C15" i="1"/>
  <c r="U18" i="1"/>
  <c r="D18" i="1" s="1"/>
  <c r="C18" i="1"/>
  <c r="U17" i="1"/>
  <c r="D17" i="1" s="1"/>
  <c r="C17" i="1"/>
  <c r="O17" i="1"/>
  <c r="O18" i="1"/>
  <c r="O16" i="1"/>
  <c r="G19" i="1"/>
  <c r="Z19" i="1"/>
  <c r="L19" i="1" s="1"/>
  <c r="C19" i="1" s="1"/>
  <c r="E19" i="1"/>
  <c r="B20" i="1"/>
  <c r="E20" i="1" s="1"/>
  <c r="F19" i="1"/>
  <c r="O15" i="1"/>
  <c r="X15" i="1" l="1"/>
  <c r="D15" i="1"/>
  <c r="Z20" i="1"/>
  <c r="L20" i="1" s="1"/>
  <c r="C20" i="1" s="1"/>
  <c r="AB20" i="1"/>
  <c r="U20" i="1" s="1"/>
  <c r="D20" i="1" s="1"/>
  <c r="G20" i="1"/>
  <c r="U19" i="1"/>
  <c r="D19" i="1" s="1"/>
  <c r="B21" i="1"/>
  <c r="B27" i="1" s="1"/>
  <c r="AA19" i="1"/>
  <c r="X17" i="1"/>
  <c r="F20" i="1"/>
  <c r="X16" i="1"/>
  <c r="AB21" i="1"/>
  <c r="U21" i="1" s="1"/>
  <c r="D21" i="1" s="1"/>
  <c r="Z21" i="1"/>
  <c r="L21" i="1" s="1"/>
  <c r="E21" i="1"/>
  <c r="AC20" i="1" l="1"/>
  <c r="L22" i="1"/>
  <c r="C21" i="1"/>
  <c r="O20" i="1"/>
  <c r="AA20" i="1"/>
  <c r="G21" i="1"/>
  <c r="F21" i="1"/>
  <c r="A24" i="1"/>
  <c r="O19" i="1"/>
  <c r="O21" i="1"/>
  <c r="X19" i="1"/>
  <c r="X20" i="1"/>
  <c r="AB27" i="1"/>
  <c r="AC27" i="1" s="1"/>
  <c r="A27" i="1"/>
  <c r="AC21" i="1"/>
  <c r="G27" i="1"/>
  <c r="B28" i="1"/>
  <c r="AB28" i="1" s="1"/>
  <c r="AC28" i="1" s="1"/>
  <c r="E27" i="1"/>
  <c r="F27" i="1"/>
  <c r="Z27" i="1"/>
  <c r="AA21" i="1"/>
  <c r="L27" i="1" l="1"/>
  <c r="C27" i="1" s="1"/>
  <c r="L23" i="1"/>
  <c r="L24" i="1" s="1"/>
  <c r="U22" i="1"/>
  <c r="U23" i="1"/>
  <c r="X21" i="1"/>
  <c r="X22" i="1" s="1"/>
  <c r="AA27" i="1"/>
  <c r="B29" i="1"/>
  <c r="AB29" i="1" s="1"/>
  <c r="AC29" i="1" s="1"/>
  <c r="E28" i="1"/>
  <c r="G28" i="1"/>
  <c r="Z28" i="1"/>
  <c r="L28" i="1" s="1"/>
  <c r="F28" i="1"/>
  <c r="O22" i="1"/>
  <c r="U28" i="1" l="1"/>
  <c r="D28" i="1" s="1"/>
  <c r="C28" i="1"/>
  <c r="U27" i="1"/>
  <c r="D27" i="1" s="1"/>
  <c r="U24" i="1"/>
  <c r="X23" i="1"/>
  <c r="X24" i="1" s="1"/>
  <c r="AA28" i="1"/>
  <c r="O23" i="1"/>
  <c r="O24" i="1" s="1"/>
  <c r="O27" i="1"/>
  <c r="Z29" i="1"/>
  <c r="L29" i="1" s="1"/>
  <c r="C29" i="1" s="1"/>
  <c r="B30" i="1"/>
  <c r="G29" i="1"/>
  <c r="E29" i="1"/>
  <c r="F29" i="1"/>
  <c r="U29" i="1" l="1"/>
  <c r="D29" i="1" s="1"/>
  <c r="AB30" i="1"/>
  <c r="AC30" i="1" s="1"/>
  <c r="AA29" i="1"/>
  <c r="X27" i="1"/>
  <c r="G30" i="1"/>
  <c r="E30" i="1"/>
  <c r="B31" i="1"/>
  <c r="F30" i="1"/>
  <c r="Z30" i="1"/>
  <c r="L30" i="1" s="1"/>
  <c r="C30" i="1" s="1"/>
  <c r="O28" i="1"/>
  <c r="U30" i="1" l="1"/>
  <c r="D30" i="1" s="1"/>
  <c r="AB31" i="1"/>
  <c r="AC31" i="1" s="1"/>
  <c r="AA30" i="1"/>
  <c r="O29" i="1"/>
  <c r="Z31" i="1"/>
  <c r="L31" i="1" s="1"/>
  <c r="C31" i="1" s="1"/>
  <c r="G31" i="1"/>
  <c r="B32" i="1"/>
  <c r="F31" i="1"/>
  <c r="E31" i="1"/>
  <c r="X28" i="1"/>
  <c r="U31" i="1" l="1"/>
  <c r="D31" i="1" s="1"/>
  <c r="AB32" i="1"/>
  <c r="U32" i="1" s="1"/>
  <c r="D32" i="1" s="1"/>
  <c r="AA31" i="1"/>
  <c r="X29" i="1"/>
  <c r="O30" i="1"/>
  <c r="F32" i="1"/>
  <c r="Z32" i="1"/>
  <c r="L32" i="1" s="1"/>
  <c r="C32" i="1" s="1"/>
  <c r="G32" i="1"/>
  <c r="E32" i="1"/>
  <c r="B33" i="1"/>
  <c r="AC32" i="1" l="1"/>
  <c r="AA32" i="1"/>
  <c r="AB33" i="1"/>
  <c r="U33" i="1" s="1"/>
  <c r="F33" i="1"/>
  <c r="A36" i="1"/>
  <c r="Z33" i="1"/>
  <c r="L33" i="1" s="1"/>
  <c r="B39" i="1"/>
  <c r="E33" i="1"/>
  <c r="G33" i="1"/>
  <c r="X30" i="1"/>
  <c r="O31" i="1"/>
  <c r="L34" i="1" l="1"/>
  <c r="C33" i="1"/>
  <c r="L35" i="1" s="1"/>
  <c r="L36" i="1" s="1"/>
  <c r="U34" i="1"/>
  <c r="D33" i="1"/>
  <c r="E39" i="1"/>
  <c r="F39" i="1"/>
  <c r="G39" i="1"/>
  <c r="X32" i="1"/>
  <c r="AC33" i="1"/>
  <c r="AB39" i="1"/>
  <c r="AC39" i="1" s="1"/>
  <c r="A39" i="1"/>
  <c r="O32" i="1"/>
  <c r="X31" i="1"/>
  <c r="Z39" i="1"/>
  <c r="B40" i="1"/>
  <c r="AA33" i="1"/>
  <c r="L39" i="1" l="1"/>
  <c r="U35" i="1"/>
  <c r="U36" i="1" s="1"/>
  <c r="E40" i="1"/>
  <c r="F40" i="1"/>
  <c r="G40" i="1"/>
  <c r="X33" i="1"/>
  <c r="X34" i="1" s="1"/>
  <c r="AB40" i="1"/>
  <c r="AA39" i="1"/>
  <c r="Z40" i="1"/>
  <c r="AA40" i="1" s="1"/>
  <c r="B41" i="1"/>
  <c r="O33" i="1"/>
  <c r="O34" i="1" s="1"/>
  <c r="U39" i="1" l="1"/>
  <c r="D39" i="1" s="1"/>
  <c r="C39" i="1"/>
  <c r="L40" i="1"/>
  <c r="AB41" i="1"/>
  <c r="AC41" i="1" s="1"/>
  <c r="E41" i="1"/>
  <c r="F41" i="1"/>
  <c r="G41" i="1"/>
  <c r="AC40" i="1"/>
  <c r="X35" i="1"/>
  <c r="X36" i="1" s="1"/>
  <c r="O39" i="1"/>
  <c r="Z41" i="1"/>
  <c r="L41" i="1" s="1"/>
  <c r="B42" i="1"/>
  <c r="O35" i="1"/>
  <c r="O36" i="1" s="1"/>
  <c r="X39" i="1" l="1"/>
  <c r="U41" i="1"/>
  <c r="D41" i="1" s="1"/>
  <c r="C41" i="1"/>
  <c r="U40" i="1"/>
  <c r="D40" i="1" s="1"/>
  <c r="C40" i="1"/>
  <c r="O40" i="1"/>
  <c r="AB42" i="1"/>
  <c r="AC42" i="1" s="1"/>
  <c r="E42" i="1"/>
  <c r="F42" i="1"/>
  <c r="G42" i="1"/>
  <c r="AA41" i="1"/>
  <c r="Z42" i="1"/>
  <c r="L42" i="1" s="1"/>
  <c r="B43" i="1"/>
  <c r="X40" i="1" l="1"/>
  <c r="U42" i="1"/>
  <c r="D42" i="1" s="1"/>
  <c r="C42" i="1"/>
  <c r="E43" i="1"/>
  <c r="F43" i="1"/>
  <c r="G43" i="1"/>
  <c r="AB43" i="1"/>
  <c r="AA42" i="1"/>
  <c r="O41" i="1"/>
  <c r="Z43" i="1"/>
  <c r="AA43" i="1" s="1"/>
  <c r="B44" i="1"/>
  <c r="L43" i="1" l="1"/>
  <c r="C43" i="1" s="1"/>
  <c r="E44" i="1"/>
  <c r="F44" i="1"/>
  <c r="G44" i="1"/>
  <c r="AC43" i="1"/>
  <c r="AB44" i="1"/>
  <c r="U44" i="1" s="1"/>
  <c r="D44" i="1" s="1"/>
  <c r="Z44" i="1"/>
  <c r="L44" i="1" s="1"/>
  <c r="C44" i="1" s="1"/>
  <c r="B45" i="1"/>
  <c r="X41" i="1"/>
  <c r="O42" i="1"/>
  <c r="U43" i="1" l="1"/>
  <c r="D43" i="1" s="1"/>
  <c r="E45" i="1"/>
  <c r="F45" i="1"/>
  <c r="G45" i="1"/>
  <c r="O43" i="1"/>
  <c r="AC44" i="1"/>
  <c r="AB45" i="1"/>
  <c r="U45" i="1" s="1"/>
  <c r="AA44" i="1"/>
  <c r="Z45" i="1"/>
  <c r="L45" i="1" s="1"/>
  <c r="B51" i="1"/>
  <c r="A48" i="1"/>
  <c r="X42" i="1"/>
  <c r="X43" i="1" l="1"/>
  <c r="L46" i="1"/>
  <c r="C45" i="1"/>
  <c r="U46" i="1"/>
  <c r="D45" i="1"/>
  <c r="U47" i="1" s="1"/>
  <c r="U48" i="1" s="1"/>
  <c r="E51" i="1"/>
  <c r="F51" i="1"/>
  <c r="G51" i="1"/>
  <c r="AC45" i="1"/>
  <c r="X44" i="1"/>
  <c r="AB51" i="1"/>
  <c r="AC51" i="1" s="1"/>
  <c r="A51" i="1"/>
  <c r="AA45" i="1"/>
  <c r="Z51" i="1"/>
  <c r="B52" i="1"/>
  <c r="O44" i="1"/>
  <c r="L51" i="1" l="1"/>
  <c r="C51" i="1" s="1"/>
  <c r="AB52" i="1"/>
  <c r="AC52" i="1" s="1"/>
  <c r="E52" i="1"/>
  <c r="F52" i="1"/>
  <c r="G52" i="1"/>
  <c r="X45" i="1"/>
  <c r="X46" i="1" s="1"/>
  <c r="AA51" i="1"/>
  <c r="Z52" i="1"/>
  <c r="L52" i="1" s="1"/>
  <c r="B53" i="1"/>
  <c r="O45" i="1"/>
  <c r="O46" i="1" s="1"/>
  <c r="U52" i="1" l="1"/>
  <c r="D52" i="1" s="1"/>
  <c r="C52" i="1"/>
  <c r="U51" i="1"/>
  <c r="D51" i="1" s="1"/>
  <c r="L47" i="1"/>
  <c r="L48" i="1" s="1"/>
  <c r="AB53" i="1"/>
  <c r="AC53" i="1" s="1"/>
  <c r="E53" i="1"/>
  <c r="F53" i="1"/>
  <c r="G53" i="1"/>
  <c r="X47" i="1"/>
  <c r="X48" i="1" s="1"/>
  <c r="AA52" i="1"/>
  <c r="Z53" i="1"/>
  <c r="L53" i="1" s="1"/>
  <c r="C53" i="1" s="1"/>
  <c r="B54" i="1"/>
  <c r="O51" i="1"/>
  <c r="U53" i="1" l="1"/>
  <c r="D53" i="1" s="1"/>
  <c r="O47" i="1"/>
  <c r="O48" i="1" s="1"/>
  <c r="AB54" i="1"/>
  <c r="AC54" i="1" s="1"/>
  <c r="E54" i="1"/>
  <c r="F54" i="1"/>
  <c r="G54" i="1"/>
  <c r="Z54" i="1"/>
  <c r="L54" i="1" s="1"/>
  <c r="C54" i="1" s="1"/>
  <c r="B55" i="1"/>
  <c r="AA53" i="1"/>
  <c r="O52" i="1"/>
  <c r="X51" i="1"/>
  <c r="U54" i="1" l="1"/>
  <c r="D54" i="1" s="1"/>
  <c r="AB55" i="1"/>
  <c r="AC55" i="1" s="1"/>
  <c r="E55" i="1"/>
  <c r="F55" i="1"/>
  <c r="G55" i="1"/>
  <c r="AA54" i="1"/>
  <c r="X52" i="1"/>
  <c r="O53" i="1"/>
  <c r="B56" i="1"/>
  <c r="Z55" i="1"/>
  <c r="L55" i="1" s="1"/>
  <c r="C55" i="1" s="1"/>
  <c r="U55" i="1" l="1"/>
  <c r="D55" i="1" s="1"/>
  <c r="G56" i="1"/>
  <c r="E56" i="1"/>
  <c r="F56" i="1"/>
  <c r="AB56" i="1"/>
  <c r="U56" i="1" s="1"/>
  <c r="D56" i="1" s="1"/>
  <c r="AA55" i="1"/>
  <c r="B57" i="1"/>
  <c r="Z56" i="1"/>
  <c r="L56" i="1" s="1"/>
  <c r="C56" i="1" s="1"/>
  <c r="O54" i="1"/>
  <c r="X53" i="1"/>
  <c r="E57" i="1" l="1"/>
  <c r="F57" i="1"/>
  <c r="G57" i="1"/>
  <c r="AC56" i="1"/>
  <c r="AB57" i="1"/>
  <c r="U57" i="1" s="1"/>
  <c r="X54" i="1"/>
  <c r="O55" i="1"/>
  <c r="B63" i="1"/>
  <c r="A60" i="1"/>
  <c r="Z57" i="1"/>
  <c r="L57" i="1" s="1"/>
  <c r="AA56" i="1"/>
  <c r="U58" i="1" l="1"/>
  <c r="D57" i="1"/>
  <c r="L58" i="1"/>
  <c r="C57" i="1"/>
  <c r="L59" i="1" s="1"/>
  <c r="L60" i="1" s="1"/>
  <c r="E63" i="1"/>
  <c r="F63" i="1"/>
  <c r="G63" i="1"/>
  <c r="AC57" i="1"/>
  <c r="U59" i="1"/>
  <c r="U60" i="1" s="1"/>
  <c r="X56" i="1"/>
  <c r="AB63" i="1"/>
  <c r="AC63" i="1" s="1"/>
  <c r="A63" i="1"/>
  <c r="Z63" i="1"/>
  <c r="B64" i="1"/>
  <c r="O56" i="1"/>
  <c r="AA57" i="1"/>
  <c r="X55" i="1"/>
  <c r="L63" i="1" l="1"/>
  <c r="C63" i="1" s="1"/>
  <c r="F64" i="1"/>
  <c r="G64" i="1"/>
  <c r="E64" i="1"/>
  <c r="X57" i="1"/>
  <c r="X58" i="1" s="1"/>
  <c r="AB64" i="1"/>
  <c r="O57" i="1"/>
  <c r="O58" i="1" s="1"/>
  <c r="Z64" i="1"/>
  <c r="L64" i="1" s="1"/>
  <c r="B65" i="1"/>
  <c r="AA63" i="1"/>
  <c r="U64" i="1" l="1"/>
  <c r="D64" i="1" s="1"/>
  <c r="C64" i="1"/>
  <c r="U63" i="1"/>
  <c r="D63" i="1" s="1"/>
  <c r="AB65" i="1"/>
  <c r="AC65" i="1" s="1"/>
  <c r="E65" i="1"/>
  <c r="F65" i="1"/>
  <c r="G65" i="1"/>
  <c r="AA64" i="1"/>
  <c r="X59" i="1"/>
  <c r="X60" i="1" s="1"/>
  <c r="AC64" i="1"/>
  <c r="O59" i="1"/>
  <c r="O60" i="1" s="1"/>
  <c r="O63" i="1"/>
  <c r="Z65" i="1"/>
  <c r="L65" i="1" s="1"/>
  <c r="C65" i="1" s="1"/>
  <c r="B66" i="1"/>
  <c r="X63" i="1" l="1"/>
  <c r="U65" i="1"/>
  <c r="D65" i="1" s="1"/>
  <c r="AB66" i="1"/>
  <c r="AC66" i="1" s="1"/>
  <c r="E66" i="1"/>
  <c r="F66" i="1"/>
  <c r="G66" i="1"/>
  <c r="O64" i="1"/>
  <c r="X64" i="1"/>
  <c r="Z66" i="1"/>
  <c r="L66" i="1" s="1"/>
  <c r="C66" i="1" s="1"/>
  <c r="B67" i="1"/>
  <c r="AA65" i="1"/>
  <c r="U66" i="1" l="1"/>
  <c r="D66" i="1" s="1"/>
  <c r="E67" i="1"/>
  <c r="F67" i="1"/>
  <c r="G67" i="1"/>
  <c r="AB67" i="1"/>
  <c r="O65" i="1"/>
  <c r="Z67" i="1"/>
  <c r="L67" i="1" s="1"/>
  <c r="C67" i="1" s="1"/>
  <c r="B68" i="1"/>
  <c r="AA66" i="1"/>
  <c r="U67" i="1" l="1"/>
  <c r="D67" i="1" s="1"/>
  <c r="E68" i="1"/>
  <c r="F68" i="1"/>
  <c r="G68" i="1"/>
  <c r="AA67" i="1"/>
  <c r="AC67" i="1"/>
  <c r="AB68" i="1"/>
  <c r="U68" i="1" s="1"/>
  <c r="D68" i="1" s="1"/>
  <c r="X65" i="1"/>
  <c r="O66" i="1"/>
  <c r="Z68" i="1"/>
  <c r="L68" i="1" s="1"/>
  <c r="C68" i="1" s="1"/>
  <c r="B69" i="1"/>
  <c r="E69" i="1" l="1"/>
  <c r="F69" i="1"/>
  <c r="G69" i="1"/>
  <c r="O67" i="1"/>
  <c r="AC68" i="1"/>
  <c r="X67" i="1"/>
  <c r="AB69" i="1"/>
  <c r="U69" i="1" s="1"/>
  <c r="AA68" i="1"/>
  <c r="A72" i="1"/>
  <c r="B75" i="1"/>
  <c r="Z69" i="1"/>
  <c r="L69" i="1" s="1"/>
  <c r="X66" i="1"/>
  <c r="U70" i="1" l="1"/>
  <c r="D69" i="1"/>
  <c r="L70" i="1"/>
  <c r="C69" i="1"/>
  <c r="L71" i="1" s="1"/>
  <c r="L72" i="1" s="1"/>
  <c r="G75" i="1"/>
  <c r="E75" i="1"/>
  <c r="F75" i="1"/>
  <c r="X68" i="1"/>
  <c r="AC69" i="1"/>
  <c r="U71" i="1"/>
  <c r="U72" i="1" s="1"/>
  <c r="AB75" i="1"/>
  <c r="AC75" i="1" s="1"/>
  <c r="A75" i="1"/>
  <c r="O68" i="1"/>
  <c r="AA69" i="1"/>
  <c r="Z75" i="1"/>
  <c r="B76" i="1"/>
  <c r="L75" i="1" l="1"/>
  <c r="C75" i="1" s="1"/>
  <c r="AB76" i="1"/>
  <c r="AC76" i="1" s="1"/>
  <c r="E76" i="1"/>
  <c r="F76" i="1"/>
  <c r="G76" i="1"/>
  <c r="X69" i="1"/>
  <c r="X70" i="1" s="1"/>
  <c r="AA75" i="1"/>
  <c r="O69" i="1"/>
  <c r="O70" i="1" s="1"/>
  <c r="B77" i="1"/>
  <c r="Z76" i="1"/>
  <c r="L76" i="1" s="1"/>
  <c r="U76" i="1" l="1"/>
  <c r="D76" i="1" s="1"/>
  <c r="C76" i="1"/>
  <c r="U75" i="1"/>
  <c r="D75" i="1" s="1"/>
  <c r="AB77" i="1"/>
  <c r="AC77" i="1" s="1"/>
  <c r="E77" i="1"/>
  <c r="F77" i="1"/>
  <c r="G77" i="1"/>
  <c r="X71" i="1"/>
  <c r="X72" i="1" s="1"/>
  <c r="O71" i="1"/>
  <c r="O72" i="1" s="1"/>
  <c r="O75" i="1"/>
  <c r="Z77" i="1"/>
  <c r="L77" i="1" s="1"/>
  <c r="C77" i="1" s="1"/>
  <c r="B78" i="1"/>
  <c r="AA76" i="1"/>
  <c r="U77" i="1" l="1"/>
  <c r="D77" i="1" s="1"/>
  <c r="AB78" i="1"/>
  <c r="AC78" i="1" s="1"/>
  <c r="E78" i="1"/>
  <c r="F78" i="1"/>
  <c r="G78" i="1"/>
  <c r="Z78" i="1"/>
  <c r="L78" i="1" s="1"/>
  <c r="C78" i="1" s="1"/>
  <c r="B79" i="1"/>
  <c r="O76" i="1"/>
  <c r="X75" i="1"/>
  <c r="AA77" i="1"/>
  <c r="U78" i="1" l="1"/>
  <c r="D78" i="1" s="1"/>
  <c r="AB79" i="1"/>
  <c r="AC79" i="1" s="1"/>
  <c r="G79" i="1"/>
  <c r="E79" i="1"/>
  <c r="F79" i="1"/>
  <c r="O77" i="1"/>
  <c r="AA78" i="1"/>
  <c r="X76" i="1"/>
  <c r="Z79" i="1"/>
  <c r="L79" i="1" s="1"/>
  <c r="C79" i="1" s="1"/>
  <c r="B80" i="1"/>
  <c r="U79" i="1" l="1"/>
  <c r="D79" i="1" s="1"/>
  <c r="E80" i="1"/>
  <c r="F80" i="1"/>
  <c r="G80" i="1"/>
  <c r="AB80" i="1"/>
  <c r="U80" i="1" s="1"/>
  <c r="D80" i="1" s="1"/>
  <c r="AA79" i="1"/>
  <c r="B81" i="1"/>
  <c r="Z80" i="1"/>
  <c r="L80" i="1" s="1"/>
  <c r="C80" i="1" s="1"/>
  <c r="X77" i="1"/>
  <c r="O78" i="1"/>
  <c r="E81" i="1" l="1"/>
  <c r="F81" i="1"/>
  <c r="G81" i="1"/>
  <c r="AC80" i="1"/>
  <c r="AB81" i="1"/>
  <c r="U81" i="1" s="1"/>
  <c r="X78" i="1"/>
  <c r="O79" i="1"/>
  <c r="AA80" i="1"/>
  <c r="A84" i="1"/>
  <c r="B87" i="1"/>
  <c r="Z81" i="1"/>
  <c r="L81" i="1" s="1"/>
  <c r="U82" i="1" l="1"/>
  <c r="D81" i="1"/>
  <c r="U83" i="1" s="1"/>
  <c r="U84" i="1" s="1"/>
  <c r="L82" i="1"/>
  <c r="C81" i="1"/>
  <c r="L83" i="1" s="1"/>
  <c r="L84" i="1" s="1"/>
  <c r="E87" i="1"/>
  <c r="F87" i="1"/>
  <c r="G87" i="1"/>
  <c r="AC81" i="1"/>
  <c r="X80" i="1"/>
  <c r="AB87" i="1"/>
  <c r="AC87" i="1" s="1"/>
  <c r="A87" i="1"/>
  <c r="AA81" i="1"/>
  <c r="X79" i="1"/>
  <c r="Z87" i="1"/>
  <c r="B88" i="1"/>
  <c r="O80" i="1"/>
  <c r="L87" i="1" l="1"/>
  <c r="C87" i="1" s="1"/>
  <c r="E88" i="1"/>
  <c r="F88" i="1"/>
  <c r="G88" i="1"/>
  <c r="X81" i="1"/>
  <c r="X82" i="1" s="1"/>
  <c r="AB88" i="1"/>
  <c r="AA87" i="1"/>
  <c r="B89" i="1"/>
  <c r="Z88" i="1"/>
  <c r="L88" i="1" s="1"/>
  <c r="O81" i="1"/>
  <c r="O82" i="1" s="1"/>
  <c r="U88" i="1" l="1"/>
  <c r="D88" i="1" s="1"/>
  <c r="C88" i="1"/>
  <c r="U87" i="1"/>
  <c r="D87" i="1" s="1"/>
  <c r="AB89" i="1"/>
  <c r="AC89" i="1" s="1"/>
  <c r="E89" i="1"/>
  <c r="F89" i="1"/>
  <c r="G89" i="1"/>
  <c r="AA88" i="1"/>
  <c r="X83" i="1"/>
  <c r="X84" i="1" s="1"/>
  <c r="AC88" i="1"/>
  <c r="O83" i="1"/>
  <c r="O84" i="1" s="1"/>
  <c r="Z89" i="1"/>
  <c r="L89" i="1" s="1"/>
  <c r="C89" i="1" s="1"/>
  <c r="B90" i="1"/>
  <c r="O87" i="1"/>
  <c r="U89" i="1" l="1"/>
  <c r="D89" i="1" s="1"/>
  <c r="X87" i="1"/>
  <c r="AB90" i="1"/>
  <c r="AC90" i="1" s="1"/>
  <c r="G90" i="1"/>
  <c r="E90" i="1"/>
  <c r="F90" i="1"/>
  <c r="O88" i="1"/>
  <c r="X88" i="1"/>
  <c r="AA89" i="1"/>
  <c r="Z90" i="1"/>
  <c r="L90" i="1" s="1"/>
  <c r="C90" i="1" s="1"/>
  <c r="B91" i="1"/>
  <c r="U90" i="1" l="1"/>
  <c r="D90" i="1" s="1"/>
  <c r="AB91" i="1"/>
  <c r="AC91" i="1" s="1"/>
  <c r="E91" i="1"/>
  <c r="F91" i="1"/>
  <c r="G91" i="1"/>
  <c r="Z91" i="1"/>
  <c r="L91" i="1" s="1"/>
  <c r="C91" i="1" s="1"/>
  <c r="B92" i="1"/>
  <c r="AA90" i="1"/>
  <c r="O89" i="1"/>
  <c r="U91" i="1" l="1"/>
  <c r="D91" i="1" s="1"/>
  <c r="E92" i="1"/>
  <c r="F92" i="1"/>
  <c r="G92" i="1"/>
  <c r="AB92" i="1"/>
  <c r="U92" i="1" s="1"/>
  <c r="D92" i="1" s="1"/>
  <c r="X89" i="1"/>
  <c r="AA91" i="1"/>
  <c r="O90" i="1"/>
  <c r="Z92" i="1"/>
  <c r="L92" i="1" s="1"/>
  <c r="C92" i="1" s="1"/>
  <c r="B93" i="1"/>
  <c r="G93" i="1" l="1"/>
  <c r="E93" i="1"/>
  <c r="F93" i="1"/>
  <c r="AC92" i="1"/>
  <c r="AB93" i="1"/>
  <c r="U93" i="1" s="1"/>
  <c r="Z93" i="1"/>
  <c r="L93" i="1" s="1"/>
  <c r="B99" i="1"/>
  <c r="A96" i="1"/>
  <c r="X90" i="1"/>
  <c r="O91" i="1"/>
  <c r="AA92" i="1"/>
  <c r="L94" i="1" l="1"/>
  <c r="C93" i="1"/>
  <c r="L95" i="1" s="1"/>
  <c r="L96" i="1" s="1"/>
  <c r="U94" i="1"/>
  <c r="D93" i="1"/>
  <c r="U95" i="1" s="1"/>
  <c r="U96" i="1" s="1"/>
  <c r="E99" i="1"/>
  <c r="F99" i="1"/>
  <c r="G99" i="1"/>
  <c r="AC93" i="1"/>
  <c r="X92" i="1"/>
  <c r="AB99" i="1"/>
  <c r="AC99" i="1" s="1"/>
  <c r="A99" i="1"/>
  <c r="AA93" i="1"/>
  <c r="X91" i="1"/>
  <c r="O92" i="1"/>
  <c r="B100" i="1"/>
  <c r="Z99" i="1"/>
  <c r="L99" i="1" l="1"/>
  <c r="C99" i="1" s="1"/>
  <c r="AB100" i="1"/>
  <c r="AC100" i="1" s="1"/>
  <c r="E100" i="1"/>
  <c r="F100" i="1"/>
  <c r="G100" i="1"/>
  <c r="X93" i="1"/>
  <c r="X94" i="1" s="1"/>
  <c r="AA99" i="1"/>
  <c r="B101" i="1"/>
  <c r="Z100" i="1"/>
  <c r="L100" i="1" s="1"/>
  <c r="O93" i="1"/>
  <c r="O94" i="1" s="1"/>
  <c r="U100" i="1" l="1"/>
  <c r="D100" i="1" s="1"/>
  <c r="C100" i="1"/>
  <c r="U99" i="1"/>
  <c r="D99" i="1" s="1"/>
  <c r="AB101" i="1"/>
  <c r="AC101" i="1" s="1"/>
  <c r="E101" i="1"/>
  <c r="F101" i="1"/>
  <c r="G101" i="1"/>
  <c r="X95" i="1"/>
  <c r="X96" i="1" s="1"/>
  <c r="O95" i="1"/>
  <c r="O96" i="1" s="1"/>
  <c r="O99" i="1"/>
  <c r="Z101" i="1"/>
  <c r="L101" i="1" s="1"/>
  <c r="C101" i="1" s="1"/>
  <c r="B102" i="1"/>
  <c r="AA100" i="1"/>
  <c r="U101" i="1" l="1"/>
  <c r="D101" i="1" s="1"/>
  <c r="X99" i="1"/>
  <c r="AB102" i="1"/>
  <c r="AC102" i="1" s="1"/>
  <c r="E102" i="1"/>
  <c r="F102" i="1"/>
  <c r="G102" i="1"/>
  <c r="AA101" i="1"/>
  <c r="O100" i="1"/>
  <c r="Z102" i="1"/>
  <c r="L102" i="1" s="1"/>
  <c r="C102" i="1" s="1"/>
  <c r="B103" i="1"/>
  <c r="U102" i="1" l="1"/>
  <c r="D102" i="1" s="1"/>
  <c r="AB103" i="1"/>
  <c r="AC103" i="1" s="1"/>
  <c r="E103" i="1"/>
  <c r="F103" i="1"/>
  <c r="G103" i="1"/>
  <c r="AA102" i="1"/>
  <c r="Z103" i="1"/>
  <c r="L103" i="1" s="1"/>
  <c r="C103" i="1" s="1"/>
  <c r="B104" i="1"/>
  <c r="X100" i="1"/>
  <c r="O101" i="1"/>
  <c r="U103" i="1" l="1"/>
  <c r="D103" i="1" s="1"/>
  <c r="E104" i="1"/>
  <c r="F104" i="1"/>
  <c r="G104" i="1"/>
  <c r="AB104" i="1"/>
  <c r="U104" i="1" s="1"/>
  <c r="D104" i="1" s="1"/>
  <c r="AA103" i="1"/>
  <c r="X101" i="1"/>
  <c r="Z104" i="1"/>
  <c r="L104" i="1" s="1"/>
  <c r="C104" i="1" s="1"/>
  <c r="B105" i="1"/>
  <c r="O102" i="1"/>
  <c r="E105" i="1" l="1"/>
  <c r="F105" i="1"/>
  <c r="G105" i="1"/>
  <c r="AC104" i="1"/>
  <c r="AB105" i="1"/>
  <c r="U105" i="1" s="1"/>
  <c r="Z105" i="1"/>
  <c r="L105" i="1" s="1"/>
  <c r="A108" i="1"/>
  <c r="B111" i="1"/>
  <c r="AA104" i="1"/>
  <c r="O103" i="1"/>
  <c r="X102" i="1"/>
  <c r="U106" i="1" l="1"/>
  <c r="D105" i="1"/>
  <c r="L106" i="1"/>
  <c r="C105" i="1"/>
  <c r="L107" i="1" s="1"/>
  <c r="L108" i="1" s="1"/>
  <c r="E111" i="1"/>
  <c r="F111" i="1"/>
  <c r="G111" i="1"/>
  <c r="AC105" i="1"/>
  <c r="U107" i="1"/>
  <c r="U108" i="1" s="1"/>
  <c r="X104" i="1"/>
  <c r="AB111" i="1"/>
  <c r="AC111" i="1" s="1"/>
  <c r="A111" i="1"/>
  <c r="O104" i="1"/>
  <c r="X103" i="1"/>
  <c r="Z111" i="1"/>
  <c r="B112" i="1"/>
  <c r="AA105" i="1"/>
  <c r="L111" i="1" l="1"/>
  <c r="C111" i="1" s="1"/>
  <c r="AB112" i="1"/>
  <c r="AC112" i="1" s="1"/>
  <c r="E112" i="1"/>
  <c r="F112" i="1"/>
  <c r="G112" i="1"/>
  <c r="X105" i="1"/>
  <c r="X106" i="1" s="1"/>
  <c r="AA111" i="1"/>
  <c r="Z112" i="1"/>
  <c r="L112" i="1" s="1"/>
  <c r="B113" i="1"/>
  <c r="O105" i="1"/>
  <c r="O106" i="1" s="1"/>
  <c r="U112" i="1" l="1"/>
  <c r="D112" i="1" s="1"/>
  <c r="C112" i="1"/>
  <c r="U111" i="1"/>
  <c r="D111" i="1" s="1"/>
  <c r="AB113" i="1"/>
  <c r="AC113" i="1" s="1"/>
  <c r="E113" i="1"/>
  <c r="F113" i="1"/>
  <c r="G113" i="1"/>
  <c r="X107" i="1"/>
  <c r="X108" i="1" s="1"/>
  <c r="O107" i="1"/>
  <c r="O108" i="1" s="1"/>
  <c r="AA112" i="1"/>
  <c r="Z113" i="1"/>
  <c r="L113" i="1" s="1"/>
  <c r="C113" i="1" s="1"/>
  <c r="B114" i="1"/>
  <c r="O111" i="1"/>
  <c r="X111" i="1" l="1"/>
  <c r="U113" i="1"/>
  <c r="D113" i="1" s="1"/>
  <c r="AB114" i="1"/>
  <c r="AC114" i="1" s="1"/>
  <c r="E114" i="1"/>
  <c r="F114" i="1"/>
  <c r="G114" i="1"/>
  <c r="AA113" i="1"/>
  <c r="O112" i="1"/>
  <c r="B115" i="1"/>
  <c r="Z114" i="1"/>
  <c r="L114" i="1" s="1"/>
  <c r="C114" i="1" s="1"/>
  <c r="U114" i="1" l="1"/>
  <c r="D114" i="1" s="1"/>
  <c r="AB115" i="1"/>
  <c r="AC115" i="1" s="1"/>
  <c r="E115" i="1"/>
  <c r="F115" i="1"/>
  <c r="G115" i="1"/>
  <c r="Z115" i="1"/>
  <c r="L115" i="1" s="1"/>
  <c r="C115" i="1" s="1"/>
  <c r="B116" i="1"/>
  <c r="X112" i="1"/>
  <c r="AA114" i="1"/>
  <c r="O113" i="1"/>
  <c r="U115" i="1" l="1"/>
  <c r="D115" i="1" s="1"/>
  <c r="G116" i="1"/>
  <c r="E116" i="1"/>
  <c r="F116" i="1"/>
  <c r="AB116" i="1"/>
  <c r="U116" i="1" s="1"/>
  <c r="D116" i="1" s="1"/>
  <c r="B117" i="1"/>
  <c r="Z116" i="1"/>
  <c r="L116" i="1" s="1"/>
  <c r="C116" i="1" s="1"/>
  <c r="AA115" i="1"/>
  <c r="O114" i="1"/>
  <c r="X113" i="1"/>
  <c r="E117" i="1" l="1"/>
  <c r="F117" i="1"/>
  <c r="G117" i="1"/>
  <c r="AC116" i="1"/>
  <c r="AB117" i="1"/>
  <c r="U117" i="1" s="1"/>
  <c r="X114" i="1"/>
  <c r="O115" i="1"/>
  <c r="AA116" i="1"/>
  <c r="A120" i="1"/>
  <c r="B123" i="1"/>
  <c r="Z117" i="1"/>
  <c r="L117" i="1" s="1"/>
  <c r="L118" i="1" l="1"/>
  <c r="C117" i="1"/>
  <c r="U118" i="1"/>
  <c r="D117" i="1"/>
  <c r="U119" i="1" s="1"/>
  <c r="U120" i="1" s="1"/>
  <c r="E123" i="1"/>
  <c r="F123" i="1"/>
  <c r="G123" i="1"/>
  <c r="AC117" i="1"/>
  <c r="X116" i="1"/>
  <c r="AB123" i="1"/>
  <c r="AC123" i="1" s="1"/>
  <c r="A123" i="1"/>
  <c r="B124" i="1"/>
  <c r="Z123" i="1"/>
  <c r="X115" i="1"/>
  <c r="AA117" i="1"/>
  <c r="O116" i="1"/>
  <c r="L123" i="1" l="1"/>
  <c r="C123" i="1" s="1"/>
  <c r="L119" i="1"/>
  <c r="L120" i="1" s="1"/>
  <c r="F124" i="1"/>
  <c r="G124" i="1"/>
  <c r="E124" i="1"/>
  <c r="X117" i="1"/>
  <c r="X118" i="1" s="1"/>
  <c r="AB124" i="1"/>
  <c r="AA123" i="1"/>
  <c r="B125" i="1"/>
  <c r="Z124" i="1"/>
  <c r="L124" i="1" s="1"/>
  <c r="O117" i="1"/>
  <c r="O118" i="1" s="1"/>
  <c r="U124" i="1" l="1"/>
  <c r="D124" i="1" s="1"/>
  <c r="C124" i="1"/>
  <c r="U123" i="1"/>
  <c r="D123" i="1" s="1"/>
  <c r="AB125" i="1"/>
  <c r="AC125" i="1" s="1"/>
  <c r="E125" i="1"/>
  <c r="F125" i="1"/>
  <c r="G125" i="1"/>
  <c r="AA124" i="1"/>
  <c r="X119" i="1"/>
  <c r="X120" i="1" s="1"/>
  <c r="AC124" i="1"/>
  <c r="O123" i="1"/>
  <c r="Z125" i="1"/>
  <c r="L125" i="1" s="1"/>
  <c r="C125" i="1" s="1"/>
  <c r="B126" i="1"/>
  <c r="O119" i="1"/>
  <c r="O120" i="1" s="1"/>
  <c r="U125" i="1" l="1"/>
  <c r="D125" i="1" s="1"/>
  <c r="AB126" i="1"/>
  <c r="AC126" i="1" s="1"/>
  <c r="E126" i="1"/>
  <c r="F126" i="1"/>
  <c r="G126" i="1"/>
  <c r="O124" i="1"/>
  <c r="Z126" i="1"/>
  <c r="L126" i="1" s="1"/>
  <c r="C126" i="1" s="1"/>
  <c r="B127" i="1"/>
  <c r="AA125" i="1"/>
  <c r="X123" i="1"/>
  <c r="U126" i="1" l="1"/>
  <c r="D126" i="1" s="1"/>
  <c r="AB127" i="1"/>
  <c r="AC127" i="1" s="1"/>
  <c r="E127" i="1"/>
  <c r="F127" i="1"/>
  <c r="G127" i="1"/>
  <c r="X124" i="1"/>
  <c r="O125" i="1"/>
  <c r="Z127" i="1"/>
  <c r="L127" i="1" s="1"/>
  <c r="C127" i="1" s="1"/>
  <c r="B128" i="1"/>
  <c r="AA126" i="1"/>
  <c r="U127" i="1" l="1"/>
  <c r="D127" i="1" s="1"/>
  <c r="E128" i="1"/>
  <c r="F128" i="1"/>
  <c r="G128" i="1"/>
  <c r="AB128" i="1"/>
  <c r="U128" i="1" s="1"/>
  <c r="D128" i="1" s="1"/>
  <c r="O126" i="1"/>
  <c r="AA127" i="1"/>
  <c r="X125" i="1"/>
  <c r="B129" i="1"/>
  <c r="Z128" i="1"/>
  <c r="L128" i="1" s="1"/>
  <c r="C128" i="1" s="1"/>
  <c r="E129" i="1" l="1"/>
  <c r="F129" i="1"/>
  <c r="G129" i="1"/>
  <c r="AC128" i="1"/>
  <c r="AB129" i="1"/>
  <c r="U129" i="1" s="1"/>
  <c r="X126" i="1"/>
  <c r="AA128" i="1"/>
  <c r="B135" i="1"/>
  <c r="Z129" i="1"/>
  <c r="L129" i="1" s="1"/>
  <c r="A132" i="1"/>
  <c r="O127" i="1"/>
  <c r="U130" i="1" l="1"/>
  <c r="D129" i="1"/>
  <c r="L130" i="1"/>
  <c r="C129" i="1"/>
  <c r="L131" i="1" s="1"/>
  <c r="L132" i="1" s="1"/>
  <c r="F135" i="1"/>
  <c r="G135" i="1"/>
  <c r="E135" i="1"/>
  <c r="AC129" i="1"/>
  <c r="U131" i="1"/>
  <c r="U132" i="1" s="1"/>
  <c r="X128" i="1"/>
  <c r="AB135" i="1"/>
  <c r="AC135" i="1" s="1"/>
  <c r="A135" i="1"/>
  <c r="X127" i="1"/>
  <c r="Z135" i="1"/>
  <c r="B136" i="1"/>
  <c r="O128" i="1"/>
  <c r="AA129" i="1"/>
  <c r="L135" i="1" l="1"/>
  <c r="AB136" i="1"/>
  <c r="AC136" i="1" s="1"/>
  <c r="E136" i="1"/>
  <c r="F136" i="1"/>
  <c r="G136" i="1"/>
  <c r="X129" i="1"/>
  <c r="X130" i="1" s="1"/>
  <c r="AA135" i="1"/>
  <c r="O129" i="1"/>
  <c r="O130" i="1" s="1"/>
  <c r="B137" i="1"/>
  <c r="Z136" i="1"/>
  <c r="L136" i="1" s="1"/>
  <c r="U136" i="1" l="1"/>
  <c r="D136" i="1" s="1"/>
  <c r="C136" i="1"/>
  <c r="U135" i="1"/>
  <c r="D135" i="1" s="1"/>
  <c r="C135" i="1"/>
  <c r="AB137" i="1"/>
  <c r="AC137" i="1" s="1"/>
  <c r="E137" i="1"/>
  <c r="F137" i="1"/>
  <c r="G137" i="1"/>
  <c r="X131" i="1"/>
  <c r="X132" i="1" s="1"/>
  <c r="AA136" i="1"/>
  <c r="O131" i="1"/>
  <c r="O132" i="1" s="1"/>
  <c r="B138" i="1"/>
  <c r="Z137" i="1"/>
  <c r="L137" i="1" s="1"/>
  <c r="C137" i="1" s="1"/>
  <c r="O135" i="1"/>
  <c r="U137" i="1" l="1"/>
  <c r="D137" i="1" s="1"/>
  <c r="X135" i="1"/>
  <c r="AB138" i="1"/>
  <c r="AC138" i="1" s="1"/>
  <c r="E138" i="1"/>
  <c r="F138" i="1"/>
  <c r="G138" i="1"/>
  <c r="B139" i="1"/>
  <c r="Z138" i="1"/>
  <c r="L138" i="1" s="1"/>
  <c r="C138" i="1" s="1"/>
  <c r="AA137" i="1"/>
  <c r="O136" i="1"/>
  <c r="U138" i="1" l="1"/>
  <c r="D138" i="1" s="1"/>
  <c r="AB139" i="1"/>
  <c r="AC139" i="1" s="1"/>
  <c r="F139" i="1"/>
  <c r="G139" i="1"/>
  <c r="E139" i="1"/>
  <c r="O137" i="1"/>
  <c r="B140" i="1"/>
  <c r="Z139" i="1"/>
  <c r="L139" i="1" s="1"/>
  <c r="C139" i="1" s="1"/>
  <c r="X136" i="1"/>
  <c r="AA138" i="1"/>
  <c r="U139" i="1" l="1"/>
  <c r="D139" i="1" s="1"/>
  <c r="E140" i="1"/>
  <c r="F140" i="1"/>
  <c r="G140" i="1"/>
  <c r="AB140" i="1"/>
  <c r="U140" i="1" s="1"/>
  <c r="D140" i="1" s="1"/>
  <c r="AA139" i="1"/>
  <c r="O138" i="1"/>
  <c r="B141" i="1"/>
  <c r="Z140" i="1"/>
  <c r="L140" i="1" s="1"/>
  <c r="C140" i="1" s="1"/>
  <c r="X137" i="1"/>
  <c r="E141" i="1" l="1"/>
  <c r="F141" i="1"/>
  <c r="G141" i="1"/>
  <c r="AC140" i="1"/>
  <c r="AB141" i="1"/>
  <c r="U141" i="1" s="1"/>
  <c r="Z141" i="1"/>
  <c r="L141" i="1" s="1"/>
  <c r="B147" i="1"/>
  <c r="A144" i="1"/>
  <c r="X138" i="1"/>
  <c r="AA140" i="1"/>
  <c r="O139" i="1"/>
  <c r="U142" i="1" l="1"/>
  <c r="D141" i="1"/>
  <c r="U143" i="1" s="1"/>
  <c r="U144" i="1" s="1"/>
  <c r="L142" i="1"/>
  <c r="C141" i="1"/>
  <c r="L143" i="1" s="1"/>
  <c r="L144" i="1" s="1"/>
  <c r="E147" i="1"/>
  <c r="F147" i="1"/>
  <c r="G147" i="1"/>
  <c r="AC141" i="1"/>
  <c r="X140" i="1"/>
  <c r="AB147" i="1"/>
  <c r="AC147" i="1" s="1"/>
  <c r="A147" i="1"/>
  <c r="X139" i="1"/>
  <c r="O140" i="1"/>
  <c r="AA141" i="1"/>
  <c r="B148" i="1"/>
  <c r="Z147" i="1"/>
  <c r="L147" i="1" l="1"/>
  <c r="AB148" i="1"/>
  <c r="AC148" i="1" s="1"/>
  <c r="E148" i="1"/>
  <c r="F148" i="1"/>
  <c r="G148" i="1"/>
  <c r="X141" i="1"/>
  <c r="X142" i="1" s="1"/>
  <c r="AA147" i="1"/>
  <c r="O141" i="1"/>
  <c r="O142" i="1" s="1"/>
  <c r="Z148" i="1"/>
  <c r="L148" i="1" s="1"/>
  <c r="B149" i="1"/>
  <c r="U148" i="1" l="1"/>
  <c r="D148" i="1" s="1"/>
  <c r="C148" i="1"/>
  <c r="U147" i="1"/>
  <c r="D147" i="1" s="1"/>
  <c r="C147" i="1"/>
  <c r="AB149" i="1"/>
  <c r="AC149" i="1" s="1"/>
  <c r="E149" i="1"/>
  <c r="F149" i="1"/>
  <c r="G149" i="1"/>
  <c r="X143" i="1"/>
  <c r="X144" i="1" s="1"/>
  <c r="AA148" i="1"/>
  <c r="O147" i="1"/>
  <c r="Z149" i="1"/>
  <c r="L149" i="1" s="1"/>
  <c r="B150" i="1"/>
  <c r="O143" i="1"/>
  <c r="O144" i="1" s="1"/>
  <c r="U149" i="1" l="1"/>
  <c r="D149" i="1" s="1"/>
  <c r="C149" i="1"/>
  <c r="AB150" i="1"/>
  <c r="AC150" i="1" s="1"/>
  <c r="G150" i="1"/>
  <c r="E150" i="1"/>
  <c r="F150" i="1"/>
  <c r="AA149" i="1"/>
  <c r="Z150" i="1"/>
  <c r="B151" i="1"/>
  <c r="O148" i="1"/>
  <c r="X147" i="1"/>
  <c r="L150" i="1" l="1"/>
  <c r="AB151" i="1"/>
  <c r="AC151" i="1" s="1"/>
  <c r="E151" i="1"/>
  <c r="F151" i="1"/>
  <c r="G151" i="1"/>
  <c r="AA150" i="1"/>
  <c r="X148" i="1"/>
  <c r="Z151" i="1"/>
  <c r="B152" i="1"/>
  <c r="O149" i="1"/>
  <c r="U150" i="1" l="1"/>
  <c r="D150" i="1" s="1"/>
  <c r="C150" i="1"/>
  <c r="L151" i="1"/>
  <c r="E152" i="1"/>
  <c r="F152" i="1"/>
  <c r="G152" i="1"/>
  <c r="AB152" i="1"/>
  <c r="U152" i="1" s="1"/>
  <c r="D152" i="1" s="1"/>
  <c r="AA151" i="1"/>
  <c r="X149" i="1"/>
  <c r="O150" i="1"/>
  <c r="Z152" i="1"/>
  <c r="B153" i="1"/>
  <c r="U151" i="1" l="1"/>
  <c r="D151" i="1" s="1"/>
  <c r="C151" i="1"/>
  <c r="L152" i="1"/>
  <c r="C152" i="1" s="1"/>
  <c r="G153" i="1"/>
  <c r="E153" i="1"/>
  <c r="F153" i="1"/>
  <c r="AC152" i="1"/>
  <c r="AB153" i="1"/>
  <c r="U153" i="1" s="1"/>
  <c r="AA152" i="1"/>
  <c r="O151" i="1"/>
  <c r="A156" i="1"/>
  <c r="Z153" i="1"/>
  <c r="L153" i="1" s="1"/>
  <c r="C153" i="1" s="1"/>
  <c r="B159" i="1"/>
  <c r="X150" i="1"/>
  <c r="U154" i="1" l="1"/>
  <c r="D153" i="1"/>
  <c r="U155" i="1" s="1"/>
  <c r="U156" i="1" s="1"/>
  <c r="L154" i="1"/>
  <c r="E159" i="1"/>
  <c r="F159" i="1"/>
  <c r="G159" i="1"/>
  <c r="AC153" i="1"/>
  <c r="X152" i="1"/>
  <c r="AB159" i="1"/>
  <c r="AC159" i="1" s="1"/>
  <c r="A159" i="1"/>
  <c r="X151" i="1"/>
  <c r="AA153" i="1"/>
  <c r="O152" i="1"/>
  <c r="Z159" i="1"/>
  <c r="B160" i="1"/>
  <c r="L159" i="1" l="1"/>
  <c r="C159" i="1" s="1"/>
  <c r="L155" i="1"/>
  <c r="L156" i="1" s="1"/>
  <c r="AB160" i="1"/>
  <c r="AC160" i="1" s="1"/>
  <c r="E160" i="1"/>
  <c r="F160" i="1"/>
  <c r="G160" i="1"/>
  <c r="X153" i="1"/>
  <c r="X154" i="1" s="1"/>
  <c r="AA159" i="1"/>
  <c r="Z160" i="1"/>
  <c r="L160" i="1" s="1"/>
  <c r="B161" i="1"/>
  <c r="O153" i="1"/>
  <c r="O154" i="1" s="1"/>
  <c r="U160" i="1" l="1"/>
  <c r="D160" i="1" s="1"/>
  <c r="C160" i="1"/>
  <c r="U159" i="1"/>
  <c r="D159" i="1" s="1"/>
  <c r="AB161" i="1"/>
  <c r="AC161" i="1" s="1"/>
  <c r="E161" i="1"/>
  <c r="F161" i="1"/>
  <c r="G161" i="1"/>
  <c r="X155" i="1"/>
  <c r="X156" i="1" s="1"/>
  <c r="O155" i="1"/>
  <c r="O156" i="1" s="1"/>
  <c r="AA160" i="1"/>
  <c r="O159" i="1"/>
  <c r="Z161" i="1"/>
  <c r="L161" i="1" s="1"/>
  <c r="C161" i="1" s="1"/>
  <c r="B162" i="1"/>
  <c r="U161" i="1" l="1"/>
  <c r="D161" i="1" s="1"/>
  <c r="X159" i="1"/>
  <c r="AB162" i="1"/>
  <c r="AC162" i="1" s="1"/>
  <c r="E162" i="1"/>
  <c r="F162" i="1"/>
  <c r="G162" i="1"/>
  <c r="AA161" i="1"/>
  <c r="O160" i="1"/>
  <c r="B163" i="1"/>
  <c r="Z162" i="1"/>
  <c r="L162" i="1" s="1"/>
  <c r="C162" i="1" s="1"/>
  <c r="U162" i="1" l="1"/>
  <c r="D162" i="1" s="1"/>
  <c r="AB163" i="1"/>
  <c r="AC163" i="1" s="1"/>
  <c r="E163" i="1"/>
  <c r="F163" i="1"/>
  <c r="G163" i="1"/>
  <c r="AA162" i="1"/>
  <c r="Z163" i="1"/>
  <c r="L163" i="1" s="1"/>
  <c r="C163" i="1" s="1"/>
  <c r="B164" i="1"/>
  <c r="X160" i="1"/>
  <c r="O161" i="1"/>
  <c r="U163" i="1" l="1"/>
  <c r="D163" i="1" s="1"/>
  <c r="E164" i="1"/>
  <c r="F164" i="1"/>
  <c r="G164" i="1"/>
  <c r="AB164" i="1"/>
  <c r="U164" i="1" s="1"/>
  <c r="D164" i="1" s="1"/>
  <c r="AA163" i="1"/>
  <c r="X161" i="1"/>
  <c r="O162" i="1"/>
  <c r="B165" i="1"/>
  <c r="Z164" i="1"/>
  <c r="L164" i="1" s="1"/>
  <c r="C164" i="1" s="1"/>
  <c r="E165" i="1" l="1"/>
  <c r="F165" i="1"/>
  <c r="G165" i="1"/>
  <c r="AC164" i="1"/>
  <c r="AB165" i="1"/>
  <c r="U165" i="1" s="1"/>
  <c r="AA164" i="1"/>
  <c r="Z165" i="1"/>
  <c r="L165" i="1" s="1"/>
  <c r="B171" i="1"/>
  <c r="A168" i="1"/>
  <c r="O163" i="1"/>
  <c r="X162" i="1"/>
  <c r="L166" i="1" l="1"/>
  <c r="C165" i="1"/>
  <c r="U166" i="1"/>
  <c r="D165" i="1"/>
  <c r="U167" i="1" s="1"/>
  <c r="U168" i="1" s="1"/>
  <c r="E171" i="1"/>
  <c r="F171" i="1"/>
  <c r="G171" i="1"/>
  <c r="AC165" i="1"/>
  <c r="X164" i="1"/>
  <c r="AB171" i="1"/>
  <c r="AC171" i="1" s="1"/>
  <c r="A171" i="1"/>
  <c r="AA165" i="1"/>
  <c r="X163" i="1"/>
  <c r="B172" i="1"/>
  <c r="Z171" i="1"/>
  <c r="O164" i="1"/>
  <c r="L167" i="1" l="1"/>
  <c r="L168" i="1" s="1"/>
  <c r="L171" i="1"/>
  <c r="C171" i="1" s="1"/>
  <c r="AB172" i="1"/>
  <c r="AC172" i="1" s="1"/>
  <c r="E172" i="1"/>
  <c r="F172" i="1"/>
  <c r="G172" i="1"/>
  <c r="X165" i="1"/>
  <c r="X166" i="1" s="1"/>
  <c r="AA171" i="1"/>
  <c r="Z172" i="1"/>
  <c r="L172" i="1" s="1"/>
  <c r="B173" i="1"/>
  <c r="O165" i="1"/>
  <c r="O166" i="1" s="1"/>
  <c r="U172" i="1" l="1"/>
  <c r="D172" i="1" s="1"/>
  <c r="C172" i="1"/>
  <c r="U171" i="1"/>
  <c r="D171" i="1" s="1"/>
  <c r="AB173" i="1"/>
  <c r="AC173" i="1" s="1"/>
  <c r="E173" i="1"/>
  <c r="F173" i="1"/>
  <c r="G173" i="1"/>
  <c r="X167" i="1"/>
  <c r="X168" i="1" s="1"/>
  <c r="AA172" i="1"/>
  <c r="O167" i="1"/>
  <c r="O168" i="1" s="1"/>
  <c r="B174" i="1"/>
  <c r="Z173" i="1"/>
  <c r="L173" i="1" s="1"/>
  <c r="C173" i="1" s="1"/>
  <c r="O171" i="1"/>
  <c r="U173" i="1" l="1"/>
  <c r="D173" i="1" s="1"/>
  <c r="E174" i="1"/>
  <c r="F174" i="1"/>
  <c r="G174" i="1"/>
  <c r="AB174" i="1"/>
  <c r="AC174" i="1" s="1"/>
  <c r="AA173" i="1"/>
  <c r="X171" i="1"/>
  <c r="Z174" i="1"/>
  <c r="AA174" i="1" s="1"/>
  <c r="B175" i="1"/>
  <c r="O172" i="1"/>
  <c r="L174" i="1" l="1"/>
  <c r="E175" i="1"/>
  <c r="F175" i="1"/>
  <c r="G175" i="1"/>
  <c r="AB175" i="1"/>
  <c r="AC175" i="1" s="1"/>
  <c r="X172" i="1"/>
  <c r="Z175" i="1"/>
  <c r="L175" i="1" s="1"/>
  <c r="B176" i="1"/>
  <c r="O173" i="1"/>
  <c r="U175" i="1" l="1"/>
  <c r="D175" i="1" s="1"/>
  <c r="C175" i="1"/>
  <c r="U174" i="1"/>
  <c r="D174" i="1" s="1"/>
  <c r="C174" i="1"/>
  <c r="G176" i="1"/>
  <c r="E176" i="1"/>
  <c r="F176" i="1"/>
  <c r="AB176" i="1"/>
  <c r="U176" i="1" s="1"/>
  <c r="D176" i="1" s="1"/>
  <c r="O174" i="1"/>
  <c r="X173" i="1"/>
  <c r="Z176" i="1"/>
  <c r="L176" i="1" s="1"/>
  <c r="C176" i="1" s="1"/>
  <c r="B177" i="1"/>
  <c r="AA175" i="1"/>
  <c r="E177" i="1" l="1"/>
  <c r="F177" i="1"/>
  <c r="G177" i="1"/>
  <c r="AC176" i="1"/>
  <c r="AB177" i="1"/>
  <c r="U177" i="1" s="1"/>
  <c r="O175" i="1"/>
  <c r="X174" i="1"/>
  <c r="AA176" i="1"/>
  <c r="A180" i="1"/>
  <c r="Z177" i="1"/>
  <c r="L177" i="1" s="1"/>
  <c r="B183" i="1"/>
  <c r="U178" i="1" l="1"/>
  <c r="D177" i="1"/>
  <c r="L178" i="1"/>
  <c r="C177" i="1"/>
  <c r="L179" i="1" s="1"/>
  <c r="L180" i="1" s="1"/>
  <c r="E183" i="1"/>
  <c r="F183" i="1"/>
  <c r="G183" i="1"/>
  <c r="X176" i="1"/>
  <c r="AC177" i="1"/>
  <c r="U179" i="1"/>
  <c r="U180" i="1" s="1"/>
  <c r="AB183" i="1"/>
  <c r="AC183" i="1" s="1"/>
  <c r="A183" i="1"/>
  <c r="AA177" i="1"/>
  <c r="X175" i="1"/>
  <c r="B184" i="1"/>
  <c r="Z183" i="1"/>
  <c r="AA183" i="1" s="1"/>
  <c r="O176" i="1"/>
  <c r="L183" i="1" l="1"/>
  <c r="AB184" i="1"/>
  <c r="AC184" i="1" s="1"/>
  <c r="F184" i="1"/>
  <c r="G184" i="1"/>
  <c r="E184" i="1"/>
  <c r="X177" i="1"/>
  <c r="X178" i="1" s="1"/>
  <c r="Z184" i="1"/>
  <c r="L184" i="1" s="1"/>
  <c r="B185" i="1"/>
  <c r="O177" i="1"/>
  <c r="O178" i="1" s="1"/>
  <c r="U184" i="1" l="1"/>
  <c r="D184" i="1" s="1"/>
  <c r="C184" i="1"/>
  <c r="U183" i="1"/>
  <c r="D183" i="1" s="1"/>
  <c r="C183" i="1"/>
  <c r="E185" i="1"/>
  <c r="F185" i="1"/>
  <c r="G185" i="1"/>
  <c r="X179" i="1"/>
  <c r="X180" i="1" s="1"/>
  <c r="AB185" i="1"/>
  <c r="AA184" i="1"/>
  <c r="O179" i="1"/>
  <c r="O180" i="1" s="1"/>
  <c r="O183" i="1"/>
  <c r="Z185" i="1"/>
  <c r="L185" i="1" s="1"/>
  <c r="B186" i="1"/>
  <c r="U185" i="1" l="1"/>
  <c r="D185" i="1" s="1"/>
  <c r="C185" i="1"/>
  <c r="X183" i="1"/>
  <c r="AB186" i="1"/>
  <c r="AC186" i="1" s="1"/>
  <c r="E186" i="1"/>
  <c r="F186" i="1"/>
  <c r="G186" i="1"/>
  <c r="AA185" i="1"/>
  <c r="AC185" i="1"/>
  <c r="O184" i="1"/>
  <c r="B187" i="1"/>
  <c r="Z186" i="1"/>
  <c r="L186" i="1" s="1"/>
  <c r="U186" i="1" l="1"/>
  <c r="D186" i="1" s="1"/>
  <c r="C186" i="1"/>
  <c r="AB187" i="1"/>
  <c r="AC187" i="1" s="1"/>
  <c r="E187" i="1"/>
  <c r="F187" i="1"/>
  <c r="G187" i="1"/>
  <c r="O185" i="1"/>
  <c r="X185" i="1"/>
  <c r="AA186" i="1"/>
  <c r="X184" i="1"/>
  <c r="Z187" i="1"/>
  <c r="L187" i="1" s="1"/>
  <c r="C187" i="1" s="1"/>
  <c r="B188" i="1"/>
  <c r="U187" i="1" l="1"/>
  <c r="D187" i="1" s="1"/>
  <c r="E188" i="1"/>
  <c r="F188" i="1"/>
  <c r="G188" i="1"/>
  <c r="AB188" i="1"/>
  <c r="U188" i="1" s="1"/>
  <c r="D188" i="1" s="1"/>
  <c r="AA187" i="1"/>
  <c r="B189" i="1"/>
  <c r="Z188" i="1"/>
  <c r="L188" i="1" s="1"/>
  <c r="C188" i="1" s="1"/>
  <c r="O186" i="1"/>
  <c r="E189" i="1" l="1"/>
  <c r="F189" i="1"/>
  <c r="G189" i="1"/>
  <c r="AC188" i="1"/>
  <c r="AB189" i="1"/>
  <c r="U189" i="1" s="1"/>
  <c r="AA188" i="1"/>
  <c r="O187" i="1"/>
  <c r="X186" i="1"/>
  <c r="Z189" i="1"/>
  <c r="L189" i="1" s="1"/>
  <c r="B195" i="1"/>
  <c r="A192" i="1"/>
  <c r="U190" i="1" l="1"/>
  <c r="D189" i="1"/>
  <c r="L190" i="1"/>
  <c r="C189" i="1"/>
  <c r="G195" i="1"/>
  <c r="E195" i="1"/>
  <c r="F195" i="1"/>
  <c r="AC189" i="1"/>
  <c r="U191" i="1"/>
  <c r="U192" i="1" s="1"/>
  <c r="X188" i="1"/>
  <c r="AB195" i="1"/>
  <c r="AC195" i="1" s="1"/>
  <c r="A195" i="1"/>
  <c r="AA189" i="1"/>
  <c r="Z195" i="1"/>
  <c r="B196" i="1"/>
  <c r="O188" i="1"/>
  <c r="X187" i="1"/>
  <c r="L195" i="1" l="1"/>
  <c r="C195" i="1" s="1"/>
  <c r="L191" i="1"/>
  <c r="L192" i="1" s="1"/>
  <c r="AB196" i="1"/>
  <c r="AC196" i="1" s="1"/>
  <c r="E196" i="1"/>
  <c r="F196" i="1"/>
  <c r="G196" i="1"/>
  <c r="X189" i="1"/>
  <c r="X190" i="1" s="1"/>
  <c r="AA195" i="1"/>
  <c r="O189" i="1"/>
  <c r="O190" i="1" s="1"/>
  <c r="B197" i="1"/>
  <c r="Z196" i="1"/>
  <c r="L196" i="1" s="1"/>
  <c r="U196" i="1" l="1"/>
  <c r="D196" i="1" s="1"/>
  <c r="C196" i="1"/>
  <c r="U195" i="1"/>
  <c r="D195" i="1" s="1"/>
  <c r="AB197" i="1"/>
  <c r="AC197" i="1" s="1"/>
  <c r="E197" i="1"/>
  <c r="F197" i="1"/>
  <c r="G197" i="1"/>
  <c r="X191" i="1"/>
  <c r="X192" i="1" s="1"/>
  <c r="AA196" i="1"/>
  <c r="O195" i="1"/>
  <c r="O191" i="1"/>
  <c r="O192" i="1" s="1"/>
  <c r="Z197" i="1"/>
  <c r="L197" i="1" s="1"/>
  <c r="C197" i="1" s="1"/>
  <c r="B198" i="1"/>
  <c r="U197" i="1" l="1"/>
  <c r="D197" i="1" s="1"/>
  <c r="AB198" i="1"/>
  <c r="AC198" i="1" s="1"/>
  <c r="E198" i="1"/>
  <c r="F198" i="1"/>
  <c r="G198" i="1"/>
  <c r="AA197" i="1"/>
  <c r="X195" i="1"/>
  <c r="Z198" i="1"/>
  <c r="L198" i="1" s="1"/>
  <c r="C198" i="1" s="1"/>
  <c r="B199" i="1"/>
  <c r="O196" i="1"/>
  <c r="U198" i="1" l="1"/>
  <c r="D198" i="1" s="1"/>
  <c r="AB199" i="1"/>
  <c r="AC199" i="1" s="1"/>
  <c r="G199" i="1"/>
  <c r="E199" i="1"/>
  <c r="F199" i="1"/>
  <c r="AA198" i="1"/>
  <c r="X196" i="1"/>
  <c r="O197" i="1"/>
  <c r="B200" i="1"/>
  <c r="Z199" i="1"/>
  <c r="L199" i="1" s="1"/>
  <c r="C199" i="1" s="1"/>
  <c r="U199" i="1" l="1"/>
  <c r="D199" i="1" s="1"/>
  <c r="E200" i="1"/>
  <c r="F200" i="1"/>
  <c r="G200" i="1"/>
  <c r="AB200" i="1"/>
  <c r="U200" i="1" s="1"/>
  <c r="D200" i="1" s="1"/>
  <c r="AA199" i="1"/>
  <c r="X197" i="1"/>
  <c r="B201" i="1"/>
  <c r="Z200" i="1"/>
  <c r="L200" i="1" s="1"/>
  <c r="C200" i="1" s="1"/>
  <c r="O198" i="1"/>
  <c r="E201" i="1" l="1"/>
  <c r="F201" i="1"/>
  <c r="G201" i="1"/>
  <c r="AC200" i="1"/>
  <c r="AB201" i="1"/>
  <c r="U201" i="1" s="1"/>
  <c r="X198" i="1"/>
  <c r="A204" i="1"/>
  <c r="Z201" i="1"/>
  <c r="L201" i="1" s="1"/>
  <c r="B207" i="1"/>
  <c r="AA200" i="1"/>
  <c r="O199" i="1"/>
  <c r="U202" i="1" l="1"/>
  <c r="D201" i="1"/>
  <c r="U203" i="1" s="1"/>
  <c r="U204" i="1" s="1"/>
  <c r="L202" i="1"/>
  <c r="C201" i="1"/>
  <c r="E207" i="1"/>
  <c r="F207" i="1"/>
  <c r="G207" i="1"/>
  <c r="AC201" i="1"/>
  <c r="X200" i="1"/>
  <c r="AB207" i="1"/>
  <c r="AC207" i="1" s="1"/>
  <c r="A207" i="1"/>
  <c r="AA201" i="1"/>
  <c r="O200" i="1"/>
  <c r="X199" i="1"/>
  <c r="Z207" i="1"/>
  <c r="B208" i="1"/>
  <c r="L207" i="1" l="1"/>
  <c r="C207" i="1" s="1"/>
  <c r="L203" i="1"/>
  <c r="L204" i="1" s="1"/>
  <c r="AB208" i="1"/>
  <c r="AC208" i="1" s="1"/>
  <c r="E208" i="1"/>
  <c r="F208" i="1"/>
  <c r="G208" i="1"/>
  <c r="X201" i="1"/>
  <c r="X202" i="1" s="1"/>
  <c r="AA207" i="1"/>
  <c r="Z208" i="1"/>
  <c r="L208" i="1" s="1"/>
  <c r="B209" i="1"/>
  <c r="O201" i="1"/>
  <c r="O202" i="1" s="1"/>
  <c r="U208" i="1" l="1"/>
  <c r="D208" i="1" s="1"/>
  <c r="C208" i="1"/>
  <c r="U207" i="1"/>
  <c r="D207" i="1" s="1"/>
  <c r="AB209" i="1"/>
  <c r="AC209" i="1" s="1"/>
  <c r="E209" i="1"/>
  <c r="F209" i="1"/>
  <c r="G209" i="1"/>
  <c r="X203" i="1"/>
  <c r="X204" i="1" s="1"/>
  <c r="AA208" i="1"/>
  <c r="B210" i="1"/>
  <c r="Z209" i="1"/>
  <c r="L209" i="1" s="1"/>
  <c r="C209" i="1" s="1"/>
  <c r="O207" i="1"/>
  <c r="O203" i="1"/>
  <c r="O204" i="1" s="1"/>
  <c r="U209" i="1" l="1"/>
  <c r="D209" i="1" s="1"/>
  <c r="AB210" i="1"/>
  <c r="AC210" i="1" s="1"/>
  <c r="G210" i="1"/>
  <c r="E210" i="1"/>
  <c r="F210" i="1"/>
  <c r="AA209" i="1"/>
  <c r="X207" i="1"/>
  <c r="O208" i="1"/>
  <c r="Z210" i="1"/>
  <c r="L210" i="1" s="1"/>
  <c r="C210" i="1" s="1"/>
  <c r="B211" i="1"/>
  <c r="U210" i="1" l="1"/>
  <c r="D210" i="1" s="1"/>
  <c r="AB211" i="1"/>
  <c r="AC211" i="1" s="1"/>
  <c r="E211" i="1"/>
  <c r="F211" i="1"/>
  <c r="G211" i="1"/>
  <c r="AA210" i="1"/>
  <c r="X208" i="1"/>
  <c r="O209" i="1"/>
  <c r="B212" i="1"/>
  <c r="Z211" i="1"/>
  <c r="L211" i="1" s="1"/>
  <c r="C211" i="1" s="1"/>
  <c r="U211" i="1" l="1"/>
  <c r="D211" i="1" s="1"/>
  <c r="E212" i="1"/>
  <c r="F212" i="1"/>
  <c r="G212" i="1"/>
  <c r="AB212" i="1"/>
  <c r="U212" i="1" s="1"/>
  <c r="D212" i="1" s="1"/>
  <c r="AA211" i="1"/>
  <c r="X209" i="1"/>
  <c r="Z212" i="1"/>
  <c r="L212" i="1" s="1"/>
  <c r="C212" i="1" s="1"/>
  <c r="B213" i="1"/>
  <c r="O210" i="1"/>
  <c r="G213" i="1" l="1"/>
  <c r="E213" i="1"/>
  <c r="F213" i="1"/>
  <c r="AC212" i="1"/>
  <c r="AB213" i="1"/>
  <c r="U213" i="1" s="1"/>
  <c r="AA212" i="1"/>
  <c r="X210" i="1"/>
  <c r="Z213" i="1"/>
  <c r="L213" i="1" s="1"/>
  <c r="B219" i="1"/>
  <c r="A216" i="1"/>
  <c r="O211" i="1"/>
  <c r="L214" i="1" l="1"/>
  <c r="C213" i="1"/>
  <c r="L215" i="1" s="1"/>
  <c r="L216" i="1" s="1"/>
  <c r="U214" i="1"/>
  <c r="D213" i="1"/>
  <c r="U215" i="1" s="1"/>
  <c r="U216" i="1" s="1"/>
  <c r="E219" i="1"/>
  <c r="F219" i="1"/>
  <c r="G219" i="1"/>
  <c r="AC213" i="1"/>
  <c r="X212" i="1"/>
  <c r="AB219" i="1"/>
  <c r="AC219" i="1" s="1"/>
  <c r="A219" i="1"/>
  <c r="X211" i="1"/>
  <c r="B220" i="1"/>
  <c r="Z219" i="1"/>
  <c r="O212" i="1"/>
  <c r="AA213" i="1"/>
  <c r="L219" i="1" l="1"/>
  <c r="C219" i="1" s="1"/>
  <c r="AB220" i="1"/>
  <c r="AC220" i="1" s="1"/>
  <c r="E220" i="1"/>
  <c r="F220" i="1"/>
  <c r="G220" i="1"/>
  <c r="X213" i="1"/>
  <c r="X214" i="1" s="1"/>
  <c r="AA219" i="1"/>
  <c r="B221" i="1"/>
  <c r="Z220" i="1"/>
  <c r="L220" i="1" s="1"/>
  <c r="O213" i="1"/>
  <c r="O214" i="1" s="1"/>
  <c r="U220" i="1" l="1"/>
  <c r="D220" i="1" s="1"/>
  <c r="C220" i="1"/>
  <c r="U219" i="1"/>
  <c r="D219" i="1" s="1"/>
  <c r="AB221" i="1"/>
  <c r="AC221" i="1" s="1"/>
  <c r="E221" i="1"/>
  <c r="F221" i="1"/>
  <c r="G221" i="1"/>
  <c r="X215" i="1"/>
  <c r="X216" i="1" s="1"/>
  <c r="AA220" i="1"/>
  <c r="O215" i="1"/>
  <c r="O216" i="1" s="1"/>
  <c r="O219" i="1"/>
  <c r="Z221" i="1"/>
  <c r="L221" i="1" s="1"/>
  <c r="C221" i="1" s="1"/>
  <c r="B222" i="1"/>
  <c r="U221" i="1" l="1"/>
  <c r="D221" i="1" s="1"/>
  <c r="X219" i="1"/>
  <c r="AB222" i="1"/>
  <c r="AC222" i="1" s="1"/>
  <c r="E222" i="1"/>
  <c r="F222" i="1"/>
  <c r="G222" i="1"/>
  <c r="Z222" i="1"/>
  <c r="L222" i="1" s="1"/>
  <c r="C222" i="1" s="1"/>
  <c r="B223" i="1"/>
  <c r="O220" i="1"/>
  <c r="AA221" i="1"/>
  <c r="U222" i="1" l="1"/>
  <c r="D222" i="1" s="1"/>
  <c r="AB223" i="1"/>
  <c r="AC223" i="1" s="1"/>
  <c r="E223" i="1"/>
  <c r="F223" i="1"/>
  <c r="G223" i="1"/>
  <c r="AA222" i="1"/>
  <c r="Z223" i="1"/>
  <c r="L223" i="1" s="1"/>
  <c r="C223" i="1" s="1"/>
  <c r="B224" i="1"/>
  <c r="X220" i="1"/>
  <c r="O221" i="1"/>
  <c r="U223" i="1" l="1"/>
  <c r="D223" i="1" s="1"/>
  <c r="E224" i="1"/>
  <c r="F224" i="1"/>
  <c r="G224" i="1"/>
  <c r="AB224" i="1"/>
  <c r="U224" i="1" s="1"/>
  <c r="D224" i="1" s="1"/>
  <c r="AA223" i="1"/>
  <c r="X221" i="1"/>
  <c r="O222" i="1"/>
  <c r="B225" i="1"/>
  <c r="Z224" i="1"/>
  <c r="L224" i="1" s="1"/>
  <c r="C224" i="1" s="1"/>
  <c r="E225" i="1" l="1"/>
  <c r="F225" i="1"/>
  <c r="G225" i="1"/>
  <c r="AC224" i="1"/>
  <c r="AB225" i="1"/>
  <c r="U225" i="1" s="1"/>
  <c r="AA224" i="1"/>
  <c r="X222" i="1"/>
  <c r="Z225" i="1"/>
  <c r="L225" i="1" s="1"/>
  <c r="A228" i="1"/>
  <c r="B231" i="1"/>
  <c r="O223" i="1"/>
  <c r="U226" i="1" l="1"/>
  <c r="D225" i="1"/>
  <c r="L226" i="1"/>
  <c r="C225" i="1"/>
  <c r="L227" i="1" s="1"/>
  <c r="L228" i="1" s="1"/>
  <c r="E231" i="1"/>
  <c r="F231" i="1"/>
  <c r="G231" i="1"/>
  <c r="X224" i="1"/>
  <c r="AC225" i="1"/>
  <c r="U227" i="1"/>
  <c r="U228" i="1" s="1"/>
  <c r="AB231" i="1"/>
  <c r="AC231" i="1" s="1"/>
  <c r="A231" i="1"/>
  <c r="AA225" i="1"/>
  <c r="O224" i="1"/>
  <c r="Z231" i="1"/>
  <c r="B232" i="1"/>
  <c r="X223" i="1"/>
  <c r="L231" i="1" l="1"/>
  <c r="C231" i="1" s="1"/>
  <c r="AB232" i="1"/>
  <c r="AC232" i="1" s="1"/>
  <c r="E232" i="1"/>
  <c r="F232" i="1"/>
  <c r="G232" i="1"/>
  <c r="X225" i="1"/>
  <c r="X226" i="1" s="1"/>
  <c r="AA231" i="1"/>
  <c r="O225" i="1"/>
  <c r="O226" i="1" s="1"/>
  <c r="Z232" i="1"/>
  <c r="L232" i="1" s="1"/>
  <c r="B233" i="1"/>
  <c r="U232" i="1" l="1"/>
  <c r="D232" i="1" s="1"/>
  <c r="C232" i="1"/>
  <c r="U231" i="1"/>
  <c r="D231" i="1" s="1"/>
  <c r="AB233" i="1"/>
  <c r="AC233" i="1" s="1"/>
  <c r="E233" i="1"/>
  <c r="F233" i="1"/>
  <c r="G233" i="1"/>
  <c r="X227" i="1"/>
  <c r="X228" i="1" s="1"/>
  <c r="AA232" i="1"/>
  <c r="O227" i="1"/>
  <c r="O228" i="1" s="1"/>
  <c r="O231" i="1"/>
  <c r="Z233" i="1"/>
  <c r="L233" i="1" s="1"/>
  <c r="C233" i="1" s="1"/>
  <c r="B234" i="1"/>
  <c r="U233" i="1" l="1"/>
  <c r="D233" i="1" s="1"/>
  <c r="AB234" i="1"/>
  <c r="AC234" i="1" s="1"/>
  <c r="E234" i="1"/>
  <c r="F234" i="1"/>
  <c r="G234" i="1"/>
  <c r="X231" i="1"/>
  <c r="AA233" i="1"/>
  <c r="O232" i="1"/>
  <c r="Z234" i="1"/>
  <c r="L234" i="1" s="1"/>
  <c r="C234" i="1" s="1"/>
  <c r="B235" i="1"/>
  <c r="U234" i="1" l="1"/>
  <c r="D234" i="1" s="1"/>
  <c r="AB235" i="1"/>
  <c r="AC235" i="1" s="1"/>
  <c r="E235" i="1"/>
  <c r="F235" i="1"/>
  <c r="G235" i="1"/>
  <c r="AA234" i="1"/>
  <c r="X232" i="1"/>
  <c r="O233" i="1"/>
  <c r="B236" i="1"/>
  <c r="Z235" i="1"/>
  <c r="L235" i="1" s="1"/>
  <c r="C235" i="1" s="1"/>
  <c r="U235" i="1" l="1"/>
  <c r="D235" i="1" s="1"/>
  <c r="G236" i="1"/>
  <c r="E236" i="1"/>
  <c r="F236" i="1"/>
  <c r="AB236" i="1"/>
  <c r="U236" i="1" s="1"/>
  <c r="D236" i="1" s="1"/>
  <c r="AA235" i="1"/>
  <c r="Z236" i="1"/>
  <c r="L236" i="1" s="1"/>
  <c r="C236" i="1" s="1"/>
  <c r="B237" i="1"/>
  <c r="O234" i="1"/>
  <c r="X233" i="1"/>
  <c r="E237" i="1" l="1"/>
  <c r="F237" i="1"/>
  <c r="G237" i="1"/>
  <c r="AC236" i="1"/>
  <c r="AB237" i="1"/>
  <c r="U237" i="1" s="1"/>
  <c r="AA236" i="1"/>
  <c r="O235" i="1"/>
  <c r="X234" i="1"/>
  <c r="Z237" i="1"/>
  <c r="L237" i="1" s="1"/>
  <c r="A240" i="1"/>
  <c r="B243" i="1"/>
  <c r="U238" i="1" l="1"/>
  <c r="D237" i="1"/>
  <c r="U239" i="1" s="1"/>
  <c r="L238" i="1"/>
  <c r="C237" i="1"/>
  <c r="L239" i="1" s="1"/>
  <c r="L240" i="1" s="1"/>
  <c r="E243" i="1"/>
  <c r="F243" i="1"/>
  <c r="G243" i="1"/>
  <c r="AC237" i="1"/>
  <c r="X236" i="1"/>
  <c r="AB243" i="1"/>
  <c r="AC243" i="1" s="1"/>
  <c r="A243" i="1"/>
  <c r="X235" i="1"/>
  <c r="AA237" i="1"/>
  <c r="B244" i="1"/>
  <c r="Z243" i="1"/>
  <c r="O236" i="1"/>
  <c r="U240" i="1" l="1"/>
  <c r="L243" i="1"/>
  <c r="G244" i="1"/>
  <c r="E244" i="1"/>
  <c r="F244" i="1"/>
  <c r="X237" i="1"/>
  <c r="X238" i="1" s="1"/>
  <c r="AB244" i="1"/>
  <c r="AA243" i="1"/>
  <c r="O237" i="1"/>
  <c r="O238" i="1" s="1"/>
  <c r="Z244" i="1"/>
  <c r="L244" i="1" s="1"/>
  <c r="B245" i="1"/>
  <c r="U244" i="1" l="1"/>
  <c r="D244" i="1" s="1"/>
  <c r="C244" i="1"/>
  <c r="U243" i="1"/>
  <c r="D243" i="1" s="1"/>
  <c r="C243" i="1"/>
  <c r="AB245" i="1"/>
  <c r="AC245" i="1" s="1"/>
  <c r="E245" i="1"/>
  <c r="F245" i="1"/>
  <c r="G245" i="1"/>
  <c r="AA244" i="1"/>
  <c r="X239" i="1"/>
  <c r="X240" i="1" s="1"/>
  <c r="AC244" i="1"/>
  <c r="O239" i="1"/>
  <c r="O240" i="1" s="1"/>
  <c r="O243" i="1"/>
  <c r="B246" i="1"/>
  <c r="Z245" i="1"/>
  <c r="L245" i="1" l="1"/>
  <c r="E246" i="1"/>
  <c r="F246" i="1"/>
  <c r="G246" i="1"/>
  <c r="O244" i="1"/>
  <c r="X244" i="1"/>
  <c r="AB246" i="1"/>
  <c r="AC246" i="1" s="1"/>
  <c r="AA245" i="1"/>
  <c r="X243" i="1"/>
  <c r="B247" i="1"/>
  <c r="Z246" i="1"/>
  <c r="AA246" i="1" s="1"/>
  <c r="U245" i="1" l="1"/>
  <c r="D245" i="1" s="1"/>
  <c r="C245" i="1"/>
  <c r="L246" i="1"/>
  <c r="AB247" i="1"/>
  <c r="AC247" i="1" s="1"/>
  <c r="E247" i="1"/>
  <c r="F247" i="1"/>
  <c r="G247" i="1"/>
  <c r="O245" i="1"/>
  <c r="Z247" i="1"/>
  <c r="L247" i="1" s="1"/>
  <c r="C247" i="1" s="1"/>
  <c r="B248" i="1"/>
  <c r="U246" i="1" l="1"/>
  <c r="D246" i="1" s="1"/>
  <c r="C246" i="1"/>
  <c r="U247" i="1"/>
  <c r="D247" i="1" s="1"/>
  <c r="E248" i="1"/>
  <c r="F248" i="1"/>
  <c r="G248" i="1"/>
  <c r="AB248" i="1"/>
  <c r="U248" i="1" s="1"/>
  <c r="D248" i="1" s="1"/>
  <c r="AA247" i="1"/>
  <c r="B249" i="1"/>
  <c r="Z248" i="1"/>
  <c r="L248" i="1" s="1"/>
  <c r="C248" i="1" s="1"/>
  <c r="O246" i="1"/>
  <c r="X245" i="1"/>
  <c r="E249" i="1" l="1"/>
  <c r="F249" i="1"/>
  <c r="G249" i="1"/>
  <c r="AC248" i="1"/>
  <c r="AB249" i="1"/>
  <c r="U249" i="1" s="1"/>
  <c r="AA248" i="1"/>
  <c r="X246" i="1"/>
  <c r="O247" i="1"/>
  <c r="Z249" i="1"/>
  <c r="L249" i="1" s="1"/>
  <c r="A252" i="1"/>
  <c r="B255" i="1"/>
  <c r="L250" i="1" l="1"/>
  <c r="C249" i="1"/>
  <c r="L251" i="1" s="1"/>
  <c r="L252" i="1" s="1"/>
  <c r="U250" i="1"/>
  <c r="D249" i="1"/>
  <c r="U251" i="1" s="1"/>
  <c r="U252" i="1" s="1"/>
  <c r="E255" i="1"/>
  <c r="F255" i="1"/>
  <c r="G255" i="1"/>
  <c r="AC249" i="1"/>
  <c r="X248" i="1"/>
  <c r="AB255" i="1"/>
  <c r="AC255" i="1" s="1"/>
  <c r="A255" i="1"/>
  <c r="AA249" i="1"/>
  <c r="Z255" i="1"/>
  <c r="AA255" i="1" s="1"/>
  <c r="B256" i="1"/>
  <c r="O248" i="1"/>
  <c r="X247" i="1"/>
  <c r="L255" i="1" l="1"/>
  <c r="C255" i="1" s="1"/>
  <c r="AB256" i="1"/>
  <c r="AC256" i="1" s="1"/>
  <c r="E256" i="1"/>
  <c r="F256" i="1"/>
  <c r="G256" i="1"/>
  <c r="X249" i="1"/>
  <c r="X250" i="1" s="1"/>
  <c r="B257" i="1"/>
  <c r="Z256" i="1"/>
  <c r="L256" i="1" s="1"/>
  <c r="O249" i="1"/>
  <c r="O250" i="1" s="1"/>
  <c r="U256" i="1" l="1"/>
  <c r="D256" i="1" s="1"/>
  <c r="C256" i="1"/>
  <c r="U255" i="1"/>
  <c r="D255" i="1" s="1"/>
  <c r="AB257" i="1"/>
  <c r="AC257" i="1" s="1"/>
  <c r="E257" i="1"/>
  <c r="F257" i="1"/>
  <c r="G257" i="1"/>
  <c r="X251" i="1"/>
  <c r="X252" i="1" s="1"/>
  <c r="AA256" i="1"/>
  <c r="O255" i="1"/>
  <c r="O251" i="1"/>
  <c r="O252" i="1" s="1"/>
  <c r="Z257" i="1"/>
  <c r="L257" i="1" s="1"/>
  <c r="C257" i="1" s="1"/>
  <c r="B258" i="1"/>
  <c r="U257" i="1" l="1"/>
  <c r="D257" i="1" s="1"/>
  <c r="AB258" i="1"/>
  <c r="AC258" i="1" s="1"/>
  <c r="E258" i="1"/>
  <c r="F258" i="1"/>
  <c r="G258" i="1"/>
  <c r="AA257" i="1"/>
  <c r="X255" i="1"/>
  <c r="B259" i="1"/>
  <c r="Z258" i="1"/>
  <c r="L258" i="1" s="1"/>
  <c r="C258" i="1" s="1"/>
  <c r="O256" i="1"/>
  <c r="U258" i="1" l="1"/>
  <c r="D258" i="1" s="1"/>
  <c r="AB259" i="1"/>
  <c r="AC259" i="1" s="1"/>
  <c r="E259" i="1"/>
  <c r="F259" i="1"/>
  <c r="G259" i="1"/>
  <c r="AA258" i="1"/>
  <c r="Z259" i="1"/>
  <c r="L259" i="1" s="1"/>
  <c r="C259" i="1" s="1"/>
  <c r="B260" i="1"/>
  <c r="O257" i="1"/>
  <c r="X256" i="1"/>
  <c r="U259" i="1" l="1"/>
  <c r="D259" i="1" s="1"/>
  <c r="E260" i="1"/>
  <c r="F260" i="1"/>
  <c r="G260" i="1"/>
  <c r="AB260" i="1"/>
  <c r="U260" i="1" s="1"/>
  <c r="D260" i="1" s="1"/>
  <c r="X257" i="1"/>
  <c r="Z260" i="1"/>
  <c r="L260" i="1" s="1"/>
  <c r="C260" i="1" s="1"/>
  <c r="B261" i="1"/>
  <c r="O258" i="1"/>
  <c r="AA259" i="1"/>
  <c r="E261" i="1" l="1"/>
  <c r="F261" i="1"/>
  <c r="G261" i="1"/>
  <c r="AC260" i="1"/>
  <c r="AB261" i="1"/>
  <c r="U261" i="1" s="1"/>
  <c r="O259" i="1"/>
  <c r="AA260" i="1"/>
  <c r="B267" i="1"/>
  <c r="A264" i="1"/>
  <c r="Z261" i="1"/>
  <c r="L261" i="1" s="1"/>
  <c r="X258" i="1"/>
  <c r="U262" i="1" l="1"/>
  <c r="D261" i="1"/>
  <c r="L262" i="1"/>
  <c r="C261" i="1"/>
  <c r="L263" i="1" s="1"/>
  <c r="L264" i="1" s="1"/>
  <c r="E267" i="1"/>
  <c r="F267" i="1"/>
  <c r="G267" i="1"/>
  <c r="AC261" i="1"/>
  <c r="U263" i="1"/>
  <c r="U264" i="1" s="1"/>
  <c r="X260" i="1"/>
  <c r="AB267" i="1"/>
  <c r="AC267" i="1" s="1"/>
  <c r="A267" i="1"/>
  <c r="O260" i="1"/>
  <c r="AA261" i="1"/>
  <c r="Z267" i="1"/>
  <c r="AA267" i="1" s="1"/>
  <c r="B268" i="1"/>
  <c r="X259" i="1"/>
  <c r="L267" i="1" l="1"/>
  <c r="C267" i="1" s="1"/>
  <c r="E268" i="1"/>
  <c r="F268" i="1"/>
  <c r="G268" i="1"/>
  <c r="X261" i="1"/>
  <c r="X262" i="1" s="1"/>
  <c r="AB268" i="1"/>
  <c r="Z268" i="1"/>
  <c r="L268" i="1" s="1"/>
  <c r="B269" i="1"/>
  <c r="O261" i="1"/>
  <c r="O262" i="1" s="1"/>
  <c r="U268" i="1" l="1"/>
  <c r="D268" i="1" s="1"/>
  <c r="C268" i="1"/>
  <c r="U267" i="1"/>
  <c r="D267" i="1" s="1"/>
  <c r="AB269" i="1"/>
  <c r="AC269" i="1" s="1"/>
  <c r="E269" i="1"/>
  <c r="F269" i="1"/>
  <c r="G269" i="1"/>
  <c r="AA268" i="1"/>
  <c r="AC268" i="1"/>
  <c r="X263" i="1"/>
  <c r="X264" i="1" s="1"/>
  <c r="O263" i="1"/>
  <c r="O264" i="1" s="1"/>
  <c r="O267" i="1"/>
  <c r="Z269" i="1"/>
  <c r="L269" i="1" s="1"/>
  <c r="C269" i="1" s="1"/>
  <c r="B270" i="1"/>
  <c r="U269" i="1" l="1"/>
  <c r="D269" i="1" s="1"/>
  <c r="X267" i="1"/>
  <c r="AB270" i="1"/>
  <c r="AC270" i="1" s="1"/>
  <c r="E270" i="1"/>
  <c r="F270" i="1"/>
  <c r="G270" i="1"/>
  <c r="O268" i="1"/>
  <c r="X268" i="1"/>
  <c r="AA269" i="1"/>
  <c r="Z270" i="1"/>
  <c r="L270" i="1" s="1"/>
  <c r="C270" i="1" s="1"/>
  <c r="B271" i="1"/>
  <c r="U270" i="1" l="1"/>
  <c r="D270" i="1" s="1"/>
  <c r="AB271" i="1"/>
  <c r="AC271" i="1" s="1"/>
  <c r="E271" i="1"/>
  <c r="F271" i="1"/>
  <c r="G271" i="1"/>
  <c r="AA270" i="1"/>
  <c r="O269" i="1"/>
  <c r="B272" i="1"/>
  <c r="Z271" i="1"/>
  <c r="L271" i="1" s="1"/>
  <c r="C271" i="1" s="1"/>
  <c r="U271" i="1" l="1"/>
  <c r="D271" i="1" s="1"/>
  <c r="E272" i="1"/>
  <c r="F272" i="1"/>
  <c r="G272" i="1"/>
  <c r="AB272" i="1"/>
  <c r="U272" i="1" s="1"/>
  <c r="D272" i="1" s="1"/>
  <c r="AA271" i="1"/>
  <c r="X269" i="1"/>
  <c r="Z272" i="1"/>
  <c r="L272" i="1" s="1"/>
  <c r="C272" i="1" s="1"/>
  <c r="B273" i="1"/>
  <c r="O270" i="1"/>
  <c r="E273" i="1" l="1"/>
  <c r="F273" i="1"/>
  <c r="G273" i="1"/>
  <c r="AC272" i="1"/>
  <c r="AB273" i="1"/>
  <c r="U273" i="1" s="1"/>
  <c r="Z273" i="1"/>
  <c r="L273" i="1" s="1"/>
  <c r="A276" i="1"/>
  <c r="B279" i="1"/>
  <c r="AA272" i="1"/>
  <c r="X270" i="1"/>
  <c r="O271" i="1"/>
  <c r="L274" i="1" l="1"/>
  <c r="C273" i="1"/>
  <c r="L275" i="1" s="1"/>
  <c r="L276" i="1" s="1"/>
  <c r="U274" i="1"/>
  <c r="D273" i="1"/>
  <c r="U275" i="1" s="1"/>
  <c r="U276" i="1" s="1"/>
  <c r="E279" i="1"/>
  <c r="F279" i="1"/>
  <c r="G279" i="1"/>
  <c r="AC273" i="1"/>
  <c r="X272" i="1"/>
  <c r="AB279" i="1"/>
  <c r="AC279" i="1" s="1"/>
  <c r="A279" i="1"/>
  <c r="X271" i="1"/>
  <c r="O272" i="1"/>
  <c r="AA273" i="1"/>
  <c r="Z279" i="1"/>
  <c r="B280" i="1"/>
  <c r="L279" i="1" l="1"/>
  <c r="C279" i="1" s="1"/>
  <c r="AB280" i="1"/>
  <c r="AC280" i="1" s="1"/>
  <c r="E280" i="1"/>
  <c r="F280" i="1"/>
  <c r="G280" i="1"/>
  <c r="X273" i="1"/>
  <c r="X274" i="1" s="1"/>
  <c r="AA279" i="1"/>
  <c r="B281" i="1"/>
  <c r="Z280" i="1"/>
  <c r="L280" i="1" s="1"/>
  <c r="O273" i="1"/>
  <c r="O274" i="1" s="1"/>
  <c r="U280" i="1" l="1"/>
  <c r="D280" i="1" s="1"/>
  <c r="C280" i="1"/>
  <c r="U279" i="1"/>
  <c r="D279" i="1" s="1"/>
  <c r="AB281" i="1"/>
  <c r="AC281" i="1" s="1"/>
  <c r="E281" i="1"/>
  <c r="F281" i="1"/>
  <c r="G281" i="1"/>
  <c r="X275" i="1"/>
  <c r="X276" i="1" s="1"/>
  <c r="AA280" i="1"/>
  <c r="O275" i="1"/>
  <c r="O276" i="1" s="1"/>
  <c r="Z281" i="1"/>
  <c r="L281" i="1" s="1"/>
  <c r="C281" i="1" s="1"/>
  <c r="B282" i="1"/>
  <c r="O279" i="1"/>
  <c r="U281" i="1" l="1"/>
  <c r="D281" i="1" s="1"/>
  <c r="AB282" i="1"/>
  <c r="AC282" i="1" s="1"/>
  <c r="E282" i="1"/>
  <c r="F282" i="1"/>
  <c r="G282" i="1"/>
  <c r="AA281" i="1"/>
  <c r="B283" i="1"/>
  <c r="Z282" i="1"/>
  <c r="L282" i="1" s="1"/>
  <c r="C282" i="1" s="1"/>
  <c r="X279" i="1"/>
  <c r="O280" i="1"/>
  <c r="U282" i="1" l="1"/>
  <c r="D282" i="1" s="1"/>
  <c r="AB283" i="1"/>
  <c r="AC283" i="1" s="1"/>
  <c r="E283" i="1"/>
  <c r="F283" i="1"/>
  <c r="G283" i="1"/>
  <c r="Z283" i="1"/>
  <c r="L283" i="1" s="1"/>
  <c r="C283" i="1" s="1"/>
  <c r="B284" i="1"/>
  <c r="X280" i="1"/>
  <c r="AA282" i="1"/>
  <c r="O281" i="1"/>
  <c r="U283" i="1" l="1"/>
  <c r="D283" i="1" s="1"/>
  <c r="E284" i="1"/>
  <c r="F284" i="1"/>
  <c r="G284" i="1"/>
  <c r="AB284" i="1"/>
  <c r="U284" i="1" s="1"/>
  <c r="D284" i="1" s="1"/>
  <c r="AA283" i="1"/>
  <c r="Z284" i="1"/>
  <c r="L284" i="1" s="1"/>
  <c r="C284" i="1" s="1"/>
  <c r="B285" i="1"/>
  <c r="O282" i="1"/>
  <c r="X281" i="1"/>
  <c r="E285" i="1" l="1"/>
  <c r="F285" i="1"/>
  <c r="G285" i="1"/>
  <c r="AC284" i="1"/>
  <c r="AB285" i="1"/>
  <c r="U285" i="1" s="1"/>
  <c r="AA284" i="1"/>
  <c r="X282" i="1"/>
  <c r="O283" i="1"/>
  <c r="Z285" i="1"/>
  <c r="L285" i="1" s="1"/>
  <c r="A288" i="1"/>
  <c r="B291" i="1"/>
  <c r="U286" i="1" l="1"/>
  <c r="D285" i="1"/>
  <c r="L286" i="1"/>
  <c r="C285" i="1"/>
  <c r="L287" i="1" s="1"/>
  <c r="L288" i="1" s="1"/>
  <c r="E291" i="1"/>
  <c r="F291" i="1"/>
  <c r="G291" i="1"/>
  <c r="AC285" i="1"/>
  <c r="U287" i="1"/>
  <c r="U288" i="1" s="1"/>
  <c r="X284" i="1"/>
  <c r="AB291" i="1"/>
  <c r="AC291" i="1" s="1"/>
  <c r="A291" i="1"/>
  <c r="Z291" i="1"/>
  <c r="B292" i="1"/>
  <c r="AA285" i="1"/>
  <c r="X283" i="1"/>
  <c r="O284" i="1"/>
  <c r="L291" i="1" l="1"/>
  <c r="C291" i="1" s="1"/>
  <c r="AB292" i="1"/>
  <c r="AC292" i="1" s="1"/>
  <c r="E292" i="1"/>
  <c r="F292" i="1"/>
  <c r="G292" i="1"/>
  <c r="X285" i="1"/>
  <c r="X286" i="1" s="1"/>
  <c r="AA291" i="1"/>
  <c r="Z292" i="1"/>
  <c r="L292" i="1" s="1"/>
  <c r="B293" i="1"/>
  <c r="O285" i="1"/>
  <c r="O286" i="1" s="1"/>
  <c r="U292" i="1" l="1"/>
  <c r="D292" i="1" s="1"/>
  <c r="C292" i="1"/>
  <c r="U291" i="1"/>
  <c r="D291" i="1" s="1"/>
  <c r="AB293" i="1"/>
  <c r="AC293" i="1" s="1"/>
  <c r="F293" i="1"/>
  <c r="G293" i="1"/>
  <c r="E293" i="1"/>
  <c r="X287" i="1"/>
  <c r="X288" i="1" s="1"/>
  <c r="AA292" i="1"/>
  <c r="O291" i="1"/>
  <c r="O287" i="1"/>
  <c r="O288" i="1" s="1"/>
  <c r="Z293" i="1"/>
  <c r="L293" i="1" s="1"/>
  <c r="C293" i="1" s="1"/>
  <c r="B294" i="1"/>
  <c r="U293" i="1" l="1"/>
  <c r="D293" i="1" s="1"/>
  <c r="AB294" i="1"/>
  <c r="AC294" i="1" s="1"/>
  <c r="E294" i="1"/>
  <c r="F294" i="1"/>
  <c r="G294" i="1"/>
  <c r="X291" i="1"/>
  <c r="Z294" i="1"/>
  <c r="L294" i="1" s="1"/>
  <c r="C294" i="1" s="1"/>
  <c r="B295" i="1"/>
  <c r="AA293" i="1"/>
  <c r="O292" i="1"/>
  <c r="U294" i="1" l="1"/>
  <c r="D294" i="1" s="1"/>
  <c r="AB295" i="1"/>
  <c r="AC295" i="1" s="1"/>
  <c r="E295" i="1"/>
  <c r="F295" i="1"/>
  <c r="G295" i="1"/>
  <c r="AA294" i="1"/>
  <c r="O293" i="1"/>
  <c r="X292" i="1"/>
  <c r="Z295" i="1"/>
  <c r="L295" i="1" s="1"/>
  <c r="C295" i="1" s="1"/>
  <c r="B296" i="1"/>
  <c r="U295" i="1" l="1"/>
  <c r="D295" i="1" s="1"/>
  <c r="E296" i="1"/>
  <c r="F296" i="1"/>
  <c r="G296" i="1"/>
  <c r="AB296" i="1"/>
  <c r="U296" i="1" s="1"/>
  <c r="D296" i="1" s="1"/>
  <c r="AA295" i="1"/>
  <c r="X293" i="1"/>
  <c r="O294" i="1"/>
  <c r="B297" i="1"/>
  <c r="Z296" i="1"/>
  <c r="L296" i="1" s="1"/>
  <c r="C296" i="1" s="1"/>
  <c r="E297" i="1" l="1"/>
  <c r="F297" i="1"/>
  <c r="G297" i="1"/>
  <c r="AC296" i="1"/>
  <c r="AB297" i="1"/>
  <c r="U297" i="1" s="1"/>
  <c r="X294" i="1"/>
  <c r="B303" i="1"/>
  <c r="A300" i="1"/>
  <c r="Z297" i="1"/>
  <c r="L297" i="1" s="1"/>
  <c r="AA296" i="1"/>
  <c r="O295" i="1"/>
  <c r="U298" i="1" l="1"/>
  <c r="D297" i="1"/>
  <c r="U299" i="1" s="1"/>
  <c r="U300" i="1" s="1"/>
  <c r="L298" i="1"/>
  <c r="C297" i="1"/>
  <c r="E303" i="1"/>
  <c r="F303" i="1"/>
  <c r="G303" i="1"/>
  <c r="AC297" i="1"/>
  <c r="X296" i="1"/>
  <c r="AB303" i="1"/>
  <c r="AC303" i="1" s="1"/>
  <c r="A303" i="1"/>
  <c r="O296" i="1"/>
  <c r="X295" i="1"/>
  <c r="AA297" i="1"/>
  <c r="Z303" i="1"/>
  <c r="B304" i="1"/>
  <c r="L303" i="1" l="1"/>
  <c r="C303" i="1" s="1"/>
  <c r="L299" i="1"/>
  <c r="L300" i="1" s="1"/>
  <c r="AB304" i="1"/>
  <c r="AC304" i="1" s="1"/>
  <c r="G304" i="1"/>
  <c r="E304" i="1"/>
  <c r="F304" i="1"/>
  <c r="X297" i="1"/>
  <c r="X298" i="1" s="1"/>
  <c r="AA303" i="1"/>
  <c r="Z304" i="1"/>
  <c r="L304" i="1" s="1"/>
  <c r="B305" i="1"/>
  <c r="O297" i="1"/>
  <c r="O298" i="1" s="1"/>
  <c r="U304" i="1" l="1"/>
  <c r="D304" i="1" s="1"/>
  <c r="C304" i="1"/>
  <c r="U303" i="1"/>
  <c r="D303" i="1" s="1"/>
  <c r="AB305" i="1"/>
  <c r="AC305" i="1" s="1"/>
  <c r="E305" i="1"/>
  <c r="F305" i="1"/>
  <c r="G305" i="1"/>
  <c r="X299" i="1"/>
  <c r="X300" i="1" s="1"/>
  <c r="AA304" i="1"/>
  <c r="Z305" i="1"/>
  <c r="L305" i="1" s="1"/>
  <c r="C305" i="1" s="1"/>
  <c r="B306" i="1"/>
  <c r="O299" i="1"/>
  <c r="O300" i="1" s="1"/>
  <c r="O303" i="1"/>
  <c r="X303" i="1" l="1"/>
  <c r="U305" i="1"/>
  <c r="D305" i="1" s="1"/>
  <c r="AB306" i="1"/>
  <c r="AC306" i="1" s="1"/>
  <c r="E306" i="1"/>
  <c r="F306" i="1"/>
  <c r="G306" i="1"/>
  <c r="B307" i="1"/>
  <c r="Z306" i="1"/>
  <c r="L306" i="1" s="1"/>
  <c r="C306" i="1" s="1"/>
  <c r="AA305" i="1"/>
  <c r="O304" i="1"/>
  <c r="U306" i="1" l="1"/>
  <c r="D306" i="1" s="1"/>
  <c r="AB307" i="1"/>
  <c r="AC307" i="1" s="1"/>
  <c r="E307" i="1"/>
  <c r="F307" i="1"/>
  <c r="G307" i="1"/>
  <c r="AA306" i="1"/>
  <c r="X304" i="1"/>
  <c r="O305" i="1"/>
  <c r="B308" i="1"/>
  <c r="Z307" i="1"/>
  <c r="L307" i="1" s="1"/>
  <c r="C307" i="1" s="1"/>
  <c r="U307" i="1" l="1"/>
  <c r="D307" i="1" s="1"/>
  <c r="E308" i="1"/>
  <c r="F308" i="1"/>
  <c r="G308" i="1"/>
  <c r="AB308" i="1"/>
  <c r="U308" i="1" s="1"/>
  <c r="D308" i="1" s="1"/>
  <c r="AA307" i="1"/>
  <c r="B309" i="1"/>
  <c r="Z308" i="1"/>
  <c r="L308" i="1" s="1"/>
  <c r="C308" i="1" s="1"/>
  <c r="O306" i="1"/>
  <c r="X305" i="1"/>
  <c r="E309" i="1" l="1"/>
  <c r="F309" i="1"/>
  <c r="G309" i="1"/>
  <c r="AC308" i="1"/>
  <c r="AB309" i="1"/>
  <c r="U309" i="1" s="1"/>
  <c r="O307" i="1"/>
  <c r="AA308" i="1"/>
  <c r="X306" i="1"/>
  <c r="A312" i="1"/>
  <c r="B315" i="1"/>
  <c r="Z309" i="1"/>
  <c r="L309" i="1" s="1"/>
  <c r="U310" i="1" l="1"/>
  <c r="D309" i="1"/>
  <c r="U311" i="1" s="1"/>
  <c r="U312" i="1" s="1"/>
  <c r="L310" i="1"/>
  <c r="C309" i="1"/>
  <c r="L311" i="1" s="1"/>
  <c r="L312" i="1" s="1"/>
  <c r="E315" i="1"/>
  <c r="F315" i="1"/>
  <c r="G315" i="1"/>
  <c r="AC309" i="1"/>
  <c r="X308" i="1"/>
  <c r="AB315" i="1"/>
  <c r="AC315" i="1" s="1"/>
  <c r="A315" i="1"/>
  <c r="O308" i="1"/>
  <c r="AA309" i="1"/>
  <c r="Z315" i="1"/>
  <c r="B316" i="1"/>
  <c r="X307" i="1"/>
  <c r="L315" i="1" l="1"/>
  <c r="C315" i="1" s="1"/>
  <c r="AB316" i="1"/>
  <c r="AC316" i="1" s="1"/>
  <c r="E316" i="1"/>
  <c r="F316" i="1"/>
  <c r="G316" i="1"/>
  <c r="X309" i="1"/>
  <c r="X310" i="1" s="1"/>
  <c r="AA315" i="1"/>
  <c r="Z316" i="1"/>
  <c r="L316" i="1" s="1"/>
  <c r="B317" i="1"/>
  <c r="O309" i="1"/>
  <c r="O310" i="1" s="1"/>
  <c r="U316" i="1" l="1"/>
  <c r="D316" i="1" s="1"/>
  <c r="C316" i="1"/>
  <c r="U315" i="1"/>
  <c r="D315" i="1" s="1"/>
  <c r="AB317" i="1"/>
  <c r="AC317" i="1" s="1"/>
  <c r="E317" i="1"/>
  <c r="F317" i="1"/>
  <c r="G317" i="1"/>
  <c r="X311" i="1"/>
  <c r="X312" i="1" s="1"/>
  <c r="AA316" i="1"/>
  <c r="O315" i="1"/>
  <c r="O311" i="1"/>
  <c r="O312" i="1" s="1"/>
  <c r="Z317" i="1"/>
  <c r="L317" i="1" s="1"/>
  <c r="C317" i="1" s="1"/>
  <c r="B318" i="1"/>
  <c r="U317" i="1" l="1"/>
  <c r="D317" i="1" s="1"/>
  <c r="AB318" i="1"/>
  <c r="AC318" i="1" s="1"/>
  <c r="E318" i="1"/>
  <c r="F318" i="1"/>
  <c r="G318" i="1"/>
  <c r="B319" i="1"/>
  <c r="Z318" i="1"/>
  <c r="L318" i="1" s="1"/>
  <c r="C318" i="1" s="1"/>
  <c r="X315" i="1"/>
  <c r="AA317" i="1"/>
  <c r="O316" i="1"/>
  <c r="U318" i="1" l="1"/>
  <c r="D318" i="1" s="1"/>
  <c r="AB319" i="1"/>
  <c r="AC319" i="1" s="1"/>
  <c r="E319" i="1"/>
  <c r="F319" i="1"/>
  <c r="G319" i="1"/>
  <c r="AA318" i="1"/>
  <c r="Z319" i="1"/>
  <c r="L319" i="1" s="1"/>
  <c r="C319" i="1" s="1"/>
  <c r="B320" i="1"/>
  <c r="X316" i="1"/>
  <c r="O317" i="1"/>
  <c r="U319" i="1" l="1"/>
  <c r="D319" i="1" s="1"/>
  <c r="E320" i="1"/>
  <c r="F320" i="1"/>
  <c r="G320" i="1"/>
  <c r="AA319" i="1"/>
  <c r="AB320" i="1"/>
  <c r="U320" i="1" s="1"/>
  <c r="D320" i="1" s="1"/>
  <c r="O318" i="1"/>
  <c r="X317" i="1"/>
  <c r="Z320" i="1"/>
  <c r="L320" i="1" s="1"/>
  <c r="C320" i="1" s="1"/>
  <c r="B321" i="1"/>
  <c r="E321" i="1" l="1"/>
  <c r="F321" i="1"/>
  <c r="G321" i="1"/>
  <c r="AA320" i="1"/>
  <c r="O319" i="1"/>
  <c r="AC320" i="1"/>
  <c r="AB321" i="1"/>
  <c r="U321" i="1" s="1"/>
  <c r="Z321" i="1"/>
  <c r="L321" i="1" s="1"/>
  <c r="A324" i="1"/>
  <c r="B327" i="1"/>
  <c r="X318" i="1"/>
  <c r="U322" i="1" l="1"/>
  <c r="D321" i="1"/>
  <c r="L322" i="1"/>
  <c r="C321" i="1"/>
  <c r="E327" i="1"/>
  <c r="F327" i="1"/>
  <c r="G327" i="1"/>
  <c r="O320" i="1"/>
  <c r="AA321" i="1"/>
  <c r="X319" i="1"/>
  <c r="AC321" i="1"/>
  <c r="U323" i="1"/>
  <c r="X320" i="1"/>
  <c r="AB327" i="1"/>
  <c r="AC327" i="1" s="1"/>
  <c r="A327" i="1"/>
  <c r="Z327" i="1"/>
  <c r="B328" i="1"/>
  <c r="U324" i="1" l="1"/>
  <c r="L327" i="1"/>
  <c r="C327" i="1" s="1"/>
  <c r="L323" i="1"/>
  <c r="L324" i="1" s="1"/>
  <c r="AB328" i="1"/>
  <c r="AC328" i="1" s="1"/>
  <c r="E328" i="1"/>
  <c r="F328" i="1"/>
  <c r="G328" i="1"/>
  <c r="X321" i="1"/>
  <c r="X322" i="1" s="1"/>
  <c r="AA327" i="1"/>
  <c r="Z328" i="1"/>
  <c r="L328" i="1" s="1"/>
  <c r="B329" i="1"/>
  <c r="U328" i="1" l="1"/>
  <c r="D328" i="1" s="1"/>
  <c r="C328" i="1"/>
  <c r="U327" i="1"/>
  <c r="D327" i="1" s="1"/>
  <c r="AB329" i="1"/>
  <c r="AC329" i="1" s="1"/>
  <c r="E329" i="1"/>
  <c r="F329" i="1"/>
  <c r="G329" i="1"/>
  <c r="X323" i="1"/>
  <c r="X324" i="1" s="1"/>
  <c r="AA328" i="1"/>
  <c r="O327" i="1"/>
  <c r="Z329" i="1"/>
  <c r="L329" i="1" s="1"/>
  <c r="B330" i="1"/>
  <c r="X327" i="1" l="1"/>
  <c r="U329" i="1"/>
  <c r="D329" i="1" s="1"/>
  <c r="C329" i="1"/>
  <c r="AB330" i="1"/>
  <c r="AC330" i="1" s="1"/>
  <c r="E330" i="1"/>
  <c r="F330" i="1"/>
  <c r="G330" i="1"/>
  <c r="O328" i="1"/>
  <c r="AA329" i="1"/>
  <c r="B331" i="1"/>
  <c r="Z330" i="1"/>
  <c r="L330" i="1" s="1"/>
  <c r="C330" i="1" s="1"/>
  <c r="U330" i="1" l="1"/>
  <c r="D330" i="1" s="1"/>
  <c r="AB331" i="1"/>
  <c r="AC331" i="1" s="1"/>
  <c r="E331" i="1"/>
  <c r="F331" i="1"/>
  <c r="G331" i="1"/>
  <c r="AA330" i="1"/>
  <c r="X328" i="1"/>
  <c r="O329" i="1"/>
  <c r="Z331" i="1"/>
  <c r="L331" i="1" s="1"/>
  <c r="C331" i="1" s="1"/>
  <c r="B332" i="1"/>
  <c r="U331" i="1" l="1"/>
  <c r="D331" i="1" s="1"/>
  <c r="E332" i="1"/>
  <c r="F332" i="1"/>
  <c r="G332" i="1"/>
  <c r="AB332" i="1"/>
  <c r="U332" i="1" s="1"/>
  <c r="D332" i="1" s="1"/>
  <c r="X329" i="1"/>
  <c r="O330" i="1"/>
  <c r="AA331" i="1"/>
  <c r="Z332" i="1"/>
  <c r="L332" i="1" s="1"/>
  <c r="C332" i="1" s="1"/>
  <c r="B333" i="1"/>
  <c r="E333" i="1" l="1"/>
  <c r="F333" i="1"/>
  <c r="G333" i="1"/>
  <c r="AC332" i="1"/>
  <c r="AB333" i="1"/>
  <c r="U333" i="1" s="1"/>
  <c r="O331" i="1"/>
  <c r="X330" i="1"/>
  <c r="AA332" i="1"/>
  <c r="A336" i="1"/>
  <c r="B339" i="1"/>
  <c r="Z333" i="1"/>
  <c r="L333" i="1" s="1"/>
  <c r="U334" i="1" l="1"/>
  <c r="D333" i="1"/>
  <c r="L334" i="1"/>
  <c r="C333" i="1"/>
  <c r="L335" i="1" s="1"/>
  <c r="L336" i="1" s="1"/>
  <c r="AA333" i="1"/>
  <c r="E339" i="1"/>
  <c r="F339" i="1"/>
  <c r="G339" i="1"/>
  <c r="AC333" i="1"/>
  <c r="U335" i="1"/>
  <c r="U336" i="1" s="1"/>
  <c r="X332" i="1"/>
  <c r="AB339" i="1"/>
  <c r="AC339" i="1" s="1"/>
  <c r="A339" i="1"/>
  <c r="X331" i="1"/>
  <c r="O332" i="1"/>
  <c r="B340" i="1"/>
  <c r="Z339" i="1"/>
  <c r="AA339" i="1" s="1"/>
  <c r="L339" i="1" l="1"/>
  <c r="O333" i="1"/>
  <c r="O334" i="1" s="1"/>
  <c r="AB340" i="1"/>
  <c r="AC340" i="1" s="1"/>
  <c r="E340" i="1"/>
  <c r="F340" i="1"/>
  <c r="G340" i="1"/>
  <c r="X333" i="1"/>
  <c r="X334" i="1" s="1"/>
  <c r="Z340" i="1"/>
  <c r="AA340" i="1" s="1"/>
  <c r="B341" i="1"/>
  <c r="U339" i="1" l="1"/>
  <c r="D339" i="1" s="1"/>
  <c r="C339" i="1"/>
  <c r="L340" i="1"/>
  <c r="O335" i="1"/>
  <c r="O336" i="1" s="1"/>
  <c r="AB341" i="1"/>
  <c r="AC341" i="1" s="1"/>
  <c r="E341" i="1"/>
  <c r="F341" i="1"/>
  <c r="G341" i="1"/>
  <c r="X335" i="1"/>
  <c r="X336" i="1" s="1"/>
  <c r="O339" i="1"/>
  <c r="Z341" i="1"/>
  <c r="AA341" i="1" s="1"/>
  <c r="B342" i="1"/>
  <c r="U340" i="1" l="1"/>
  <c r="D340" i="1" s="1"/>
  <c r="C340" i="1"/>
  <c r="O340" i="1"/>
  <c r="L341" i="1"/>
  <c r="C341" i="1" s="1"/>
  <c r="X339" i="1"/>
  <c r="AB342" i="1"/>
  <c r="AC342" i="1" s="1"/>
  <c r="F342" i="1"/>
  <c r="G342" i="1"/>
  <c r="E342" i="1"/>
  <c r="Z342" i="1"/>
  <c r="AA342" i="1" s="1"/>
  <c r="B343" i="1"/>
  <c r="U341" i="1" l="1"/>
  <c r="D341" i="1" s="1"/>
  <c r="L342" i="1"/>
  <c r="X340" i="1"/>
  <c r="AB343" i="1"/>
  <c r="AC343" i="1" s="1"/>
  <c r="E343" i="1"/>
  <c r="F343" i="1"/>
  <c r="G343" i="1"/>
  <c r="O341" i="1"/>
  <c r="B344" i="1"/>
  <c r="Z343" i="1"/>
  <c r="AA343" i="1" s="1"/>
  <c r="U342" i="1" l="1"/>
  <c r="D342" i="1" s="1"/>
  <c r="C342" i="1"/>
  <c r="L343" i="1"/>
  <c r="O342" i="1"/>
  <c r="E344" i="1"/>
  <c r="F344" i="1"/>
  <c r="G344" i="1"/>
  <c r="X341" i="1"/>
  <c r="AB344" i="1"/>
  <c r="U344" i="1" s="1"/>
  <c r="D344" i="1" s="1"/>
  <c r="B345" i="1"/>
  <c r="Z344" i="1"/>
  <c r="L344" i="1" s="1"/>
  <c r="C344" i="1" s="1"/>
  <c r="U343" i="1" l="1"/>
  <c r="D343" i="1" s="1"/>
  <c r="C343" i="1"/>
  <c r="F345" i="1"/>
  <c r="G345" i="1"/>
  <c r="E345" i="1"/>
  <c r="O343" i="1"/>
  <c r="X342" i="1"/>
  <c r="AC344" i="1"/>
  <c r="AB345" i="1"/>
  <c r="U345" i="1" s="1"/>
  <c r="AA344" i="1"/>
  <c r="A348" i="1"/>
  <c r="Z345" i="1"/>
  <c r="L345" i="1" s="1"/>
  <c r="B351" i="1"/>
  <c r="L346" i="1" l="1"/>
  <c r="C345" i="1"/>
  <c r="L347" i="1" s="1"/>
  <c r="L348" i="1" s="1"/>
  <c r="U346" i="1"/>
  <c r="D345" i="1"/>
  <c r="E351" i="1"/>
  <c r="F351" i="1"/>
  <c r="G351" i="1"/>
  <c r="X343" i="1"/>
  <c r="AC345" i="1"/>
  <c r="U347" i="1"/>
  <c r="U348" i="1" s="1"/>
  <c r="X344" i="1"/>
  <c r="AB351" i="1"/>
  <c r="AC351" i="1" s="1"/>
  <c r="A351" i="1"/>
  <c r="Z351" i="1"/>
  <c r="AA351" i="1" s="1"/>
  <c r="B352" i="1"/>
  <c r="O344" i="1"/>
  <c r="AA345" i="1"/>
  <c r="L351" i="1" l="1"/>
  <c r="C351" i="1" s="1"/>
  <c r="AB352" i="1"/>
  <c r="AC352" i="1" s="1"/>
  <c r="E352" i="1"/>
  <c r="F352" i="1"/>
  <c r="G352" i="1"/>
  <c r="X345" i="1"/>
  <c r="X346" i="1" s="1"/>
  <c r="O345" i="1"/>
  <c r="O346" i="1" s="1"/>
  <c r="B353" i="1"/>
  <c r="Z352" i="1"/>
  <c r="AA352" i="1" s="1"/>
  <c r="U351" i="1" l="1"/>
  <c r="D351" i="1" s="1"/>
  <c r="L352" i="1"/>
  <c r="AB353" i="1"/>
  <c r="AC353" i="1" s="1"/>
  <c r="G353" i="1"/>
  <c r="E353" i="1"/>
  <c r="F353" i="1"/>
  <c r="X347" i="1"/>
  <c r="X348" i="1" s="1"/>
  <c r="O347" i="1"/>
  <c r="O348" i="1" s="1"/>
  <c r="Z353" i="1"/>
  <c r="L353" i="1" s="1"/>
  <c r="B354" i="1"/>
  <c r="O351" i="1"/>
  <c r="U353" i="1" l="1"/>
  <c r="D353" i="1" s="1"/>
  <c r="C353" i="1"/>
  <c r="U352" i="1"/>
  <c r="D352" i="1" s="1"/>
  <c r="C352" i="1"/>
  <c r="O352" i="1"/>
  <c r="X351" i="1"/>
  <c r="AB354" i="1"/>
  <c r="AC354" i="1" s="1"/>
  <c r="E354" i="1"/>
  <c r="F354" i="1"/>
  <c r="G354" i="1"/>
  <c r="AA353" i="1"/>
  <c r="B355" i="1"/>
  <c r="Z354" i="1"/>
  <c r="AA354" i="1" s="1"/>
  <c r="L354" i="1" l="1"/>
  <c r="C354" i="1" s="1"/>
  <c r="AB355" i="1"/>
  <c r="AC355" i="1" s="1"/>
  <c r="E355" i="1"/>
  <c r="F355" i="1"/>
  <c r="G355" i="1"/>
  <c r="X352" i="1"/>
  <c r="O353" i="1"/>
  <c r="B356" i="1"/>
  <c r="Z355" i="1"/>
  <c r="AA355" i="1" s="1"/>
  <c r="U354" i="1" l="1"/>
  <c r="D354" i="1" s="1"/>
  <c r="L355" i="1"/>
  <c r="X353" i="1"/>
  <c r="E356" i="1"/>
  <c r="F356" i="1"/>
  <c r="G356" i="1"/>
  <c r="O354" i="1"/>
  <c r="AB356" i="1"/>
  <c r="U356" i="1" s="1"/>
  <c r="D356" i="1" s="1"/>
  <c r="Z356" i="1"/>
  <c r="L356" i="1" s="1"/>
  <c r="C356" i="1" s="1"/>
  <c r="B357" i="1"/>
  <c r="U355" i="1" l="1"/>
  <c r="D355" i="1" s="1"/>
  <c r="C355" i="1"/>
  <c r="E357" i="1"/>
  <c r="F357" i="1"/>
  <c r="G357" i="1"/>
  <c r="X354" i="1"/>
  <c r="O355" i="1"/>
  <c r="AC356" i="1"/>
  <c r="AB357" i="1"/>
  <c r="U357" i="1" s="1"/>
  <c r="AA356" i="1"/>
  <c r="Z357" i="1"/>
  <c r="L357" i="1" s="1"/>
  <c r="A360" i="1"/>
  <c r="B363" i="1"/>
  <c r="L358" i="1" l="1"/>
  <c r="C357" i="1"/>
  <c r="U358" i="1"/>
  <c r="D357" i="1"/>
  <c r="U359" i="1" s="1"/>
  <c r="U360" i="1" s="1"/>
  <c r="X355" i="1"/>
  <c r="E363" i="1"/>
  <c r="F363" i="1"/>
  <c r="G363" i="1"/>
  <c r="AC357" i="1"/>
  <c r="X356" i="1"/>
  <c r="AB363" i="1"/>
  <c r="AC363" i="1" s="1"/>
  <c r="A363" i="1"/>
  <c r="AA357" i="1"/>
  <c r="Z363" i="1"/>
  <c r="AA363" i="1" s="1"/>
  <c r="B364" i="1"/>
  <c r="O356" i="1"/>
  <c r="L363" i="1" l="1"/>
  <c r="C363" i="1" s="1"/>
  <c r="L359" i="1"/>
  <c r="L360" i="1" s="1"/>
  <c r="AB364" i="1"/>
  <c r="AC364" i="1" s="1"/>
  <c r="E364" i="1"/>
  <c r="F364" i="1"/>
  <c r="G364" i="1"/>
  <c r="X357" i="1"/>
  <c r="X358" i="1" s="1"/>
  <c r="O357" i="1"/>
  <c r="O358" i="1" s="1"/>
  <c r="B365" i="1"/>
  <c r="Z364" i="1"/>
  <c r="AA364" i="1" s="1"/>
  <c r="L364" i="1" l="1"/>
  <c r="U363" i="1"/>
  <c r="D363" i="1" s="1"/>
  <c r="AB365" i="1"/>
  <c r="AC365" i="1" s="1"/>
  <c r="E365" i="1"/>
  <c r="F365" i="1"/>
  <c r="G365" i="1"/>
  <c r="X359" i="1"/>
  <c r="X360" i="1" s="1"/>
  <c r="B366" i="1"/>
  <c r="Z365" i="1"/>
  <c r="AA365" i="1" s="1"/>
  <c r="O363" i="1"/>
  <c r="U364" i="1" l="1"/>
  <c r="D364" i="1" s="1"/>
  <c r="C364" i="1"/>
  <c r="L365" i="1"/>
  <c r="AB366" i="1"/>
  <c r="AC366" i="1" s="1"/>
  <c r="E366" i="1"/>
  <c r="F366" i="1"/>
  <c r="G366" i="1"/>
  <c r="O364" i="1"/>
  <c r="X363" i="1"/>
  <c r="X364" i="1"/>
  <c r="O359" i="1"/>
  <c r="O360" i="1" s="1"/>
  <c r="Z366" i="1"/>
  <c r="AA366" i="1" s="1"/>
  <c r="B367" i="1"/>
  <c r="U365" i="1" l="1"/>
  <c r="D365" i="1" s="1"/>
  <c r="C365" i="1"/>
  <c r="O365" i="1"/>
  <c r="L366" i="1"/>
  <c r="AB367" i="1"/>
  <c r="AC367" i="1" s="1"/>
  <c r="E367" i="1"/>
  <c r="F367" i="1"/>
  <c r="G367" i="1"/>
  <c r="B368" i="1"/>
  <c r="Z367" i="1"/>
  <c r="AA367" i="1" s="1"/>
  <c r="X365" i="1" l="1"/>
  <c r="U366" i="1"/>
  <c r="D366" i="1" s="1"/>
  <c r="C366" i="1"/>
  <c r="L367" i="1"/>
  <c r="F368" i="1"/>
  <c r="G368" i="1"/>
  <c r="E368" i="1"/>
  <c r="O366" i="1"/>
  <c r="AB368" i="1"/>
  <c r="U368" i="1" s="1"/>
  <c r="D368" i="1" s="1"/>
  <c r="Z368" i="1"/>
  <c r="L368" i="1" s="1"/>
  <c r="C368" i="1" s="1"/>
  <c r="B369" i="1"/>
  <c r="U367" i="1" l="1"/>
  <c r="D367" i="1" s="1"/>
  <c r="C367" i="1"/>
  <c r="E369" i="1"/>
  <c r="F369" i="1"/>
  <c r="G369" i="1"/>
  <c r="X366" i="1"/>
  <c r="O367" i="1"/>
  <c r="AC368" i="1"/>
  <c r="AB369" i="1"/>
  <c r="U369" i="1" s="1"/>
  <c r="AA368" i="1"/>
  <c r="Z369" i="1"/>
  <c r="L369" i="1" s="1"/>
  <c r="B375" i="1"/>
  <c r="A372" i="1"/>
  <c r="U370" i="1" l="1"/>
  <c r="D369" i="1"/>
  <c r="L370" i="1"/>
  <c r="C369" i="1"/>
  <c r="E375" i="1"/>
  <c r="F375" i="1"/>
  <c r="G375" i="1"/>
  <c r="X367" i="1"/>
  <c r="AC369" i="1"/>
  <c r="U371" i="1"/>
  <c r="U372" i="1" s="1"/>
  <c r="X368" i="1"/>
  <c r="AB375" i="1"/>
  <c r="AC375" i="1" s="1"/>
  <c r="A375" i="1"/>
  <c r="AA369" i="1"/>
  <c r="O368" i="1"/>
  <c r="Z375" i="1"/>
  <c r="AA375" i="1" s="1"/>
  <c r="B376" i="1"/>
  <c r="L375" i="1" l="1"/>
  <c r="C375" i="1" s="1"/>
  <c r="L371" i="1"/>
  <c r="L372" i="1" s="1"/>
  <c r="AB376" i="1"/>
  <c r="AC376" i="1" s="1"/>
  <c r="E376" i="1"/>
  <c r="F376" i="1"/>
  <c r="G376" i="1"/>
  <c r="X369" i="1"/>
  <c r="X370" i="1" s="1"/>
  <c r="Z376" i="1"/>
  <c r="AA376" i="1" s="1"/>
  <c r="B377" i="1"/>
  <c r="O369" i="1"/>
  <c r="O370" i="1" s="1"/>
  <c r="L376" i="1" l="1"/>
  <c r="U375" i="1"/>
  <c r="D375" i="1" s="1"/>
  <c r="AB377" i="1"/>
  <c r="AC377" i="1" s="1"/>
  <c r="E377" i="1"/>
  <c r="F377" i="1"/>
  <c r="G377" i="1"/>
  <c r="X371" i="1"/>
  <c r="X372" i="1" s="1"/>
  <c r="O371" i="1"/>
  <c r="O372" i="1" s="1"/>
  <c r="Z377" i="1"/>
  <c r="L377" i="1" s="1"/>
  <c r="B378" i="1"/>
  <c r="O375" i="1"/>
  <c r="U377" i="1" l="1"/>
  <c r="D377" i="1" s="1"/>
  <c r="C377" i="1"/>
  <c r="U376" i="1"/>
  <c r="D376" i="1" s="1"/>
  <c r="C376" i="1"/>
  <c r="O376" i="1"/>
  <c r="X375" i="1"/>
  <c r="AB378" i="1"/>
  <c r="AC378" i="1" s="1"/>
  <c r="E378" i="1"/>
  <c r="F378" i="1"/>
  <c r="G378" i="1"/>
  <c r="AA377" i="1"/>
  <c r="B379" i="1"/>
  <c r="Z378" i="1"/>
  <c r="AA378" i="1" s="1"/>
  <c r="X376" i="1" l="1"/>
  <c r="L378" i="1"/>
  <c r="C378" i="1" s="1"/>
  <c r="AB379" i="1"/>
  <c r="AC379" i="1" s="1"/>
  <c r="E379" i="1"/>
  <c r="F379" i="1"/>
  <c r="G379" i="1"/>
  <c r="O377" i="1"/>
  <c r="B380" i="1"/>
  <c r="Z379" i="1"/>
  <c r="L379" i="1" s="1"/>
  <c r="U379" i="1" l="1"/>
  <c r="D379" i="1" s="1"/>
  <c r="C379" i="1"/>
  <c r="U378" i="1"/>
  <c r="D378" i="1" s="1"/>
  <c r="E380" i="1"/>
  <c r="F380" i="1"/>
  <c r="G380" i="1"/>
  <c r="X377" i="1"/>
  <c r="O378" i="1"/>
  <c r="AB380" i="1"/>
  <c r="U380" i="1" s="1"/>
  <c r="D380" i="1" s="1"/>
  <c r="B381" i="1"/>
  <c r="Z380" i="1"/>
  <c r="L380" i="1" s="1"/>
  <c r="C380" i="1" s="1"/>
  <c r="AA379" i="1"/>
  <c r="O379" i="1" l="1"/>
  <c r="E381" i="1"/>
  <c r="F381" i="1"/>
  <c r="G381" i="1"/>
  <c r="X378" i="1"/>
  <c r="X379" i="1"/>
  <c r="AC380" i="1"/>
  <c r="AB381" i="1"/>
  <c r="U381" i="1" s="1"/>
  <c r="AA380" i="1"/>
  <c r="O321" i="1"/>
  <c r="O322" i="1" s="1"/>
  <c r="Z381" i="1"/>
  <c r="L381" i="1" s="1"/>
  <c r="B387" i="1"/>
  <c r="A384" i="1"/>
  <c r="L382" i="1" l="1"/>
  <c r="C381" i="1"/>
  <c r="L383" i="1" s="1"/>
  <c r="L384" i="1" s="1"/>
  <c r="U382" i="1"/>
  <c r="D381" i="1"/>
  <c r="U383" i="1" s="1"/>
  <c r="U384" i="1" s="1"/>
  <c r="F387" i="1"/>
  <c r="G387" i="1"/>
  <c r="E387" i="1"/>
  <c r="AC381" i="1"/>
  <c r="X380" i="1"/>
  <c r="AB387" i="1"/>
  <c r="AC387" i="1" s="1"/>
  <c r="A387" i="1"/>
  <c r="B388" i="1"/>
  <c r="Z387" i="1"/>
  <c r="AA387" i="1" s="1"/>
  <c r="O323" i="1"/>
  <c r="O324" i="1" s="1"/>
  <c r="AA381" i="1"/>
  <c r="O380" i="1"/>
  <c r="L387" i="1" l="1"/>
  <c r="C387" i="1" s="1"/>
  <c r="AB388" i="1"/>
  <c r="AC388" i="1" s="1"/>
  <c r="E388" i="1"/>
  <c r="F388" i="1"/>
  <c r="G388" i="1"/>
  <c r="X381" i="1"/>
  <c r="X382" i="1" s="1"/>
  <c r="O381" i="1"/>
  <c r="O382" i="1" s="1"/>
  <c r="Z388" i="1"/>
  <c r="AA388" i="1" s="1"/>
  <c r="B389" i="1"/>
  <c r="L388" i="1" l="1"/>
  <c r="U387" i="1"/>
  <c r="D387" i="1" s="1"/>
  <c r="AB389" i="1"/>
  <c r="AC389" i="1" s="1"/>
  <c r="E389" i="1"/>
  <c r="F389" i="1"/>
  <c r="G389" i="1"/>
  <c r="X383" i="1"/>
  <c r="X384" i="1" s="1"/>
  <c r="B390" i="1"/>
  <c r="Z389" i="1"/>
  <c r="L389" i="1" s="1"/>
  <c r="O387" i="1"/>
  <c r="O383" i="1"/>
  <c r="O384" i="1" s="1"/>
  <c r="U389" i="1" l="1"/>
  <c r="D389" i="1" s="1"/>
  <c r="C389" i="1"/>
  <c r="U388" i="1"/>
  <c r="D388" i="1" s="1"/>
  <c r="C388" i="1"/>
  <c r="AB390" i="1"/>
  <c r="AC390" i="1" s="1"/>
  <c r="E390" i="1"/>
  <c r="F390" i="1"/>
  <c r="G390" i="1"/>
  <c r="B391" i="1"/>
  <c r="Z390" i="1"/>
  <c r="AA390" i="1" s="1"/>
  <c r="AA389" i="1"/>
  <c r="X387" i="1"/>
  <c r="O388" i="1"/>
  <c r="L390" i="1" l="1"/>
  <c r="C390" i="1" s="1"/>
  <c r="AB391" i="1"/>
  <c r="AC391" i="1" s="1"/>
  <c r="F391" i="1"/>
  <c r="G391" i="1"/>
  <c r="E391" i="1"/>
  <c r="X388" i="1"/>
  <c r="O389" i="1"/>
  <c r="B392" i="1"/>
  <c r="Z391" i="1"/>
  <c r="L391" i="1" s="1"/>
  <c r="U391" i="1" l="1"/>
  <c r="D391" i="1" s="1"/>
  <c r="C391" i="1"/>
  <c r="U390" i="1"/>
  <c r="D390" i="1" s="1"/>
  <c r="E392" i="1"/>
  <c r="F392" i="1"/>
  <c r="G392" i="1"/>
  <c r="AB392" i="1"/>
  <c r="U392" i="1" s="1"/>
  <c r="D392" i="1" s="1"/>
  <c r="AA391" i="1"/>
  <c r="X389" i="1"/>
  <c r="O390" i="1"/>
  <c r="Z392" i="1"/>
  <c r="L392" i="1" s="1"/>
  <c r="C392" i="1" s="1"/>
  <c r="B393" i="1"/>
  <c r="E393" i="1" l="1"/>
  <c r="F393" i="1"/>
  <c r="G393" i="1"/>
  <c r="AC392" i="1"/>
  <c r="AB393" i="1"/>
  <c r="U393" i="1" s="1"/>
  <c r="O391" i="1"/>
  <c r="Z393" i="1"/>
  <c r="L393" i="1" s="1"/>
  <c r="B399" i="1"/>
  <c r="A396" i="1"/>
  <c r="AA392" i="1"/>
  <c r="X390" i="1"/>
  <c r="U394" i="1" l="1"/>
  <c r="D393" i="1"/>
  <c r="L394" i="1"/>
  <c r="C393" i="1"/>
  <c r="L395" i="1" s="1"/>
  <c r="L396" i="1" s="1"/>
  <c r="E399" i="1"/>
  <c r="F399" i="1"/>
  <c r="G399" i="1"/>
  <c r="AC393" i="1"/>
  <c r="U395" i="1"/>
  <c r="U396" i="1" s="1"/>
  <c r="X392" i="1"/>
  <c r="AB399" i="1"/>
  <c r="AC399" i="1" s="1"/>
  <c r="A399" i="1"/>
  <c r="O392" i="1"/>
  <c r="Z399" i="1"/>
  <c r="B400" i="1"/>
  <c r="X391" i="1"/>
  <c r="AA393" i="1"/>
  <c r="L399" i="1" l="1"/>
  <c r="C399" i="1" s="1"/>
  <c r="AB400" i="1"/>
  <c r="AC400" i="1" s="1"/>
  <c r="E400" i="1"/>
  <c r="F400" i="1"/>
  <c r="G400" i="1"/>
  <c r="X393" i="1"/>
  <c r="X394" i="1" s="1"/>
  <c r="AA399" i="1"/>
  <c r="O393" i="1"/>
  <c r="O394" i="1" s="1"/>
  <c r="Z400" i="1"/>
  <c r="L400" i="1" s="1"/>
  <c r="B401" i="1"/>
  <c r="U400" i="1" l="1"/>
  <c r="D400" i="1" s="1"/>
  <c r="C400" i="1"/>
  <c r="U399" i="1"/>
  <c r="D399" i="1" s="1"/>
  <c r="AB401" i="1"/>
  <c r="AC401" i="1" s="1"/>
  <c r="E401" i="1"/>
  <c r="F401" i="1"/>
  <c r="G401" i="1"/>
  <c r="X395" i="1"/>
  <c r="X396" i="1" s="1"/>
  <c r="AA400" i="1"/>
  <c r="Z401" i="1"/>
  <c r="L401" i="1" s="1"/>
  <c r="C401" i="1" s="1"/>
  <c r="B402" i="1"/>
  <c r="O399" i="1"/>
  <c r="O395" i="1"/>
  <c r="O396" i="1" s="1"/>
  <c r="U401" i="1" l="1"/>
  <c r="D401" i="1" s="1"/>
  <c r="AB402" i="1"/>
  <c r="AC402" i="1" s="1"/>
  <c r="E402" i="1"/>
  <c r="F402" i="1"/>
  <c r="G402" i="1"/>
  <c r="X399" i="1"/>
  <c r="AA401" i="1"/>
  <c r="Z402" i="1"/>
  <c r="L402" i="1" s="1"/>
  <c r="C402" i="1" s="1"/>
  <c r="B403" i="1"/>
  <c r="O400" i="1"/>
  <c r="U402" i="1" l="1"/>
  <c r="D402" i="1" s="1"/>
  <c r="AB403" i="1"/>
  <c r="AC403" i="1" s="1"/>
  <c r="E403" i="1"/>
  <c r="F403" i="1"/>
  <c r="G403" i="1"/>
  <c r="Z403" i="1"/>
  <c r="L403" i="1" s="1"/>
  <c r="C403" i="1" s="1"/>
  <c r="B404" i="1"/>
  <c r="X400" i="1"/>
  <c r="O401" i="1"/>
  <c r="AA402" i="1"/>
  <c r="U403" i="1" l="1"/>
  <c r="D403" i="1" s="1"/>
  <c r="E404" i="1"/>
  <c r="F404" i="1"/>
  <c r="G404" i="1"/>
  <c r="AB404" i="1"/>
  <c r="U404" i="1" s="1"/>
  <c r="D404" i="1" s="1"/>
  <c r="O402" i="1"/>
  <c r="Z404" i="1"/>
  <c r="L404" i="1" s="1"/>
  <c r="C404" i="1" s="1"/>
  <c r="B405" i="1"/>
  <c r="X401" i="1"/>
  <c r="AA403" i="1"/>
  <c r="E405" i="1" l="1"/>
  <c r="F405" i="1"/>
  <c r="G405" i="1"/>
  <c r="AC404" i="1"/>
  <c r="AB405" i="1"/>
  <c r="U405" i="1" s="1"/>
  <c r="X402" i="1"/>
  <c r="Z405" i="1"/>
  <c r="L405" i="1" s="1"/>
  <c r="A408" i="1"/>
  <c r="B411" i="1"/>
  <c r="AA404" i="1"/>
  <c r="O403" i="1"/>
  <c r="L406" i="1" l="1"/>
  <c r="C405" i="1"/>
  <c r="L407" i="1" s="1"/>
  <c r="L408" i="1" s="1"/>
  <c r="U406" i="1"/>
  <c r="D405" i="1"/>
  <c r="U407" i="1" s="1"/>
  <c r="U408" i="1" s="1"/>
  <c r="E411" i="1"/>
  <c r="F411" i="1"/>
  <c r="G411" i="1"/>
  <c r="AC405" i="1"/>
  <c r="X404" i="1"/>
  <c r="AB411" i="1"/>
  <c r="AC411" i="1" s="1"/>
  <c r="A411" i="1"/>
  <c r="O404" i="1"/>
  <c r="X403" i="1"/>
  <c r="Z411" i="1"/>
  <c r="B412" i="1"/>
  <c r="AA405" i="1"/>
  <c r="L411" i="1" l="1"/>
  <c r="C411" i="1" s="1"/>
  <c r="AB412" i="1"/>
  <c r="AC412" i="1" s="1"/>
  <c r="E412" i="1"/>
  <c r="F412" i="1"/>
  <c r="G412" i="1"/>
  <c r="X405" i="1"/>
  <c r="X406" i="1" s="1"/>
  <c r="AA411" i="1"/>
  <c r="O405" i="1"/>
  <c r="O406" i="1" s="1"/>
  <c r="B413" i="1"/>
  <c r="Z412" i="1"/>
  <c r="L412" i="1" s="1"/>
  <c r="U412" i="1" l="1"/>
  <c r="D412" i="1" s="1"/>
  <c r="C412" i="1"/>
  <c r="U411" i="1"/>
  <c r="D411" i="1" s="1"/>
  <c r="AB413" i="1"/>
  <c r="AC413" i="1" s="1"/>
  <c r="E413" i="1"/>
  <c r="F413" i="1"/>
  <c r="G413" i="1"/>
  <c r="X407" i="1"/>
  <c r="X408" i="1" s="1"/>
  <c r="Z413" i="1"/>
  <c r="L413" i="1" s="1"/>
  <c r="C413" i="1" s="1"/>
  <c r="B414" i="1"/>
  <c r="O411" i="1"/>
  <c r="O407" i="1"/>
  <c r="O408" i="1" s="1"/>
  <c r="AA412" i="1"/>
  <c r="U413" i="1" l="1"/>
  <c r="D413" i="1" s="1"/>
  <c r="AB414" i="1"/>
  <c r="AC414" i="1" s="1"/>
  <c r="E414" i="1"/>
  <c r="F414" i="1"/>
  <c r="G414" i="1"/>
  <c r="B415" i="1"/>
  <c r="Z414" i="1"/>
  <c r="L414" i="1" s="1"/>
  <c r="C414" i="1" s="1"/>
  <c r="O412" i="1"/>
  <c r="X411" i="1"/>
  <c r="AA413" i="1"/>
  <c r="U414" i="1" l="1"/>
  <c r="D414" i="1" s="1"/>
  <c r="E415" i="1"/>
  <c r="F415" i="1"/>
  <c r="G415" i="1"/>
  <c r="AB415" i="1"/>
  <c r="AA414" i="1"/>
  <c r="O413" i="1"/>
  <c r="B416" i="1"/>
  <c r="Z415" i="1"/>
  <c r="L415" i="1" s="1"/>
  <c r="C415" i="1" s="1"/>
  <c r="X412" i="1"/>
  <c r="U415" i="1" l="1"/>
  <c r="D415" i="1" s="1"/>
  <c r="E416" i="1"/>
  <c r="F416" i="1"/>
  <c r="G416" i="1"/>
  <c r="AC415" i="1"/>
  <c r="AB416" i="1"/>
  <c r="U416" i="1" s="1"/>
  <c r="D416" i="1" s="1"/>
  <c r="O414" i="1"/>
  <c r="Z416" i="1"/>
  <c r="L416" i="1" s="1"/>
  <c r="C416" i="1" s="1"/>
  <c r="B417" i="1"/>
  <c r="O415" i="1"/>
  <c r="AA415" i="1"/>
  <c r="X413" i="1"/>
  <c r="E417" i="1" l="1"/>
  <c r="F417" i="1"/>
  <c r="G417" i="1"/>
  <c r="AC416" i="1"/>
  <c r="X415" i="1"/>
  <c r="AB417" i="1"/>
  <c r="U417" i="1" s="1"/>
  <c r="AA416" i="1"/>
  <c r="Z417" i="1"/>
  <c r="L417" i="1" s="1"/>
  <c r="A420" i="1"/>
  <c r="B423" i="1"/>
  <c r="X414" i="1"/>
  <c r="L418" i="1" l="1"/>
  <c r="C417" i="1"/>
  <c r="L419" i="1" s="1"/>
  <c r="L420" i="1" s="1"/>
  <c r="U418" i="1"/>
  <c r="D417" i="1"/>
  <c r="E423" i="1"/>
  <c r="F423" i="1"/>
  <c r="G423" i="1"/>
  <c r="AC417" i="1"/>
  <c r="U419" i="1"/>
  <c r="U420" i="1" s="1"/>
  <c r="X416" i="1"/>
  <c r="AB423" i="1"/>
  <c r="AC423" i="1" s="1"/>
  <c r="A423" i="1"/>
  <c r="AA417" i="1"/>
  <c r="Z423" i="1"/>
  <c r="B424" i="1"/>
  <c r="O416" i="1"/>
  <c r="L423" i="1" l="1"/>
  <c r="C423" i="1" s="1"/>
  <c r="AB424" i="1"/>
  <c r="AC424" i="1" s="1"/>
  <c r="E424" i="1"/>
  <c r="F424" i="1"/>
  <c r="G424" i="1"/>
  <c r="X417" i="1"/>
  <c r="X418" i="1" s="1"/>
  <c r="Z424" i="1"/>
  <c r="L424" i="1" s="1"/>
  <c r="B425" i="1"/>
  <c r="O417" i="1"/>
  <c r="O418" i="1" s="1"/>
  <c r="AA423" i="1"/>
  <c r="U424" i="1" l="1"/>
  <c r="D424" i="1" s="1"/>
  <c r="C424" i="1"/>
  <c r="U423" i="1"/>
  <c r="D423" i="1" s="1"/>
  <c r="AB425" i="1"/>
  <c r="AC425" i="1" s="1"/>
  <c r="E425" i="1"/>
  <c r="F425" i="1"/>
  <c r="G425" i="1"/>
  <c r="X419" i="1"/>
  <c r="X420" i="1" s="1"/>
  <c r="O423" i="1"/>
  <c r="O419" i="1"/>
  <c r="O420" i="1" s="1"/>
  <c r="Z425" i="1"/>
  <c r="L425" i="1" s="1"/>
  <c r="C425" i="1" s="1"/>
  <c r="B426" i="1"/>
  <c r="AA424" i="1"/>
  <c r="U425" i="1" l="1"/>
  <c r="D425" i="1" s="1"/>
  <c r="AB426" i="1"/>
  <c r="AC426" i="1" s="1"/>
  <c r="G426" i="1"/>
  <c r="E426" i="1"/>
  <c r="F426" i="1"/>
  <c r="O424" i="1"/>
  <c r="Z426" i="1"/>
  <c r="L426" i="1" s="1"/>
  <c r="C426" i="1" s="1"/>
  <c r="B427" i="1"/>
  <c r="AA425" i="1"/>
  <c r="X423" i="1"/>
  <c r="U426" i="1" l="1"/>
  <c r="D426" i="1" s="1"/>
  <c r="AB427" i="1"/>
  <c r="AC427" i="1" s="1"/>
  <c r="E427" i="1"/>
  <c r="F427" i="1"/>
  <c r="G427" i="1"/>
  <c r="AA426" i="1"/>
  <c r="X424" i="1"/>
  <c r="O425" i="1"/>
  <c r="Z427" i="1"/>
  <c r="L427" i="1" s="1"/>
  <c r="C427" i="1" s="1"/>
  <c r="B428" i="1"/>
  <c r="U427" i="1" l="1"/>
  <c r="D427" i="1" s="1"/>
  <c r="E428" i="1"/>
  <c r="F428" i="1"/>
  <c r="G428" i="1"/>
  <c r="AB428" i="1"/>
  <c r="U428" i="1" s="1"/>
  <c r="D428" i="1" s="1"/>
  <c r="AA427" i="1"/>
  <c r="X425" i="1"/>
  <c r="Z428" i="1"/>
  <c r="L428" i="1" s="1"/>
  <c r="C428" i="1" s="1"/>
  <c r="B429" i="1"/>
  <c r="O426" i="1"/>
  <c r="E429" i="1" l="1"/>
  <c r="F429" i="1"/>
  <c r="G429" i="1"/>
  <c r="AC428" i="1"/>
  <c r="AB429" i="1"/>
  <c r="U429" i="1" s="1"/>
  <c r="X426" i="1"/>
  <c r="B435" i="1"/>
  <c r="Z429" i="1"/>
  <c r="L429" i="1" s="1"/>
  <c r="A432" i="1"/>
  <c r="AA428" i="1"/>
  <c r="O427" i="1"/>
  <c r="U430" i="1" l="1"/>
  <c r="D429" i="1"/>
  <c r="L430" i="1"/>
  <c r="C429" i="1"/>
  <c r="L431" i="1" s="1"/>
  <c r="L432" i="1" s="1"/>
  <c r="E435" i="1"/>
  <c r="F435" i="1"/>
  <c r="G435" i="1"/>
  <c r="AC429" i="1"/>
  <c r="U431" i="1"/>
  <c r="U432" i="1" s="1"/>
  <c r="X428" i="1"/>
  <c r="AB435" i="1"/>
  <c r="AC435" i="1" s="1"/>
  <c r="A435" i="1"/>
  <c r="O428" i="1"/>
  <c r="X427" i="1"/>
  <c r="Z435" i="1"/>
  <c r="B436" i="1"/>
  <c r="AA429" i="1"/>
  <c r="L435" i="1" l="1"/>
  <c r="AB436" i="1"/>
  <c r="AC436" i="1" s="1"/>
  <c r="E436" i="1"/>
  <c r="F436" i="1"/>
  <c r="G436" i="1"/>
  <c r="X429" i="1"/>
  <c r="X430" i="1" s="1"/>
  <c r="AA435" i="1"/>
  <c r="B437" i="1"/>
  <c r="Z436" i="1"/>
  <c r="L436" i="1" s="1"/>
  <c r="O429" i="1"/>
  <c r="O430" i="1" s="1"/>
  <c r="U436" i="1" l="1"/>
  <c r="D436" i="1" s="1"/>
  <c r="C436" i="1"/>
  <c r="U435" i="1"/>
  <c r="D435" i="1" s="1"/>
  <c r="C435" i="1"/>
  <c r="AB437" i="1"/>
  <c r="AC437" i="1" s="1"/>
  <c r="E437" i="1"/>
  <c r="F437" i="1"/>
  <c r="G437" i="1"/>
  <c r="X431" i="1"/>
  <c r="X432" i="1" s="1"/>
  <c r="O436" i="1"/>
  <c r="O435" i="1"/>
  <c r="AA436" i="1"/>
  <c r="O431" i="1"/>
  <c r="O432" i="1" s="1"/>
  <c r="B438" i="1"/>
  <c r="Z437" i="1"/>
  <c r="L437" i="1" s="1"/>
  <c r="C437" i="1" s="1"/>
  <c r="U437" i="1" l="1"/>
  <c r="D437" i="1" s="1"/>
  <c r="AB438" i="1"/>
  <c r="AC438" i="1" s="1"/>
  <c r="F438" i="1"/>
  <c r="G438" i="1"/>
  <c r="E438" i="1"/>
  <c r="X436" i="1"/>
  <c r="Z438" i="1"/>
  <c r="L438" i="1" s="1"/>
  <c r="C438" i="1" s="1"/>
  <c r="B439" i="1"/>
  <c r="AA437" i="1"/>
  <c r="X435" i="1"/>
  <c r="U438" i="1" l="1"/>
  <c r="D438" i="1" s="1"/>
  <c r="AB439" i="1"/>
  <c r="AC439" i="1" s="1"/>
  <c r="E439" i="1"/>
  <c r="F439" i="1"/>
  <c r="G439" i="1"/>
  <c r="Z439" i="1"/>
  <c r="L439" i="1" s="1"/>
  <c r="C439" i="1" s="1"/>
  <c r="B440" i="1"/>
  <c r="AA438" i="1"/>
  <c r="O437" i="1"/>
  <c r="U439" i="1" l="1"/>
  <c r="D439" i="1" s="1"/>
  <c r="E440" i="1"/>
  <c r="F440" i="1"/>
  <c r="G440" i="1"/>
  <c r="AB440" i="1"/>
  <c r="U440" i="1" s="1"/>
  <c r="D440" i="1" s="1"/>
  <c r="AA439" i="1"/>
  <c r="X437" i="1"/>
  <c r="O438" i="1"/>
  <c r="B441" i="1"/>
  <c r="Z440" i="1"/>
  <c r="L440" i="1" s="1"/>
  <c r="C440" i="1" s="1"/>
  <c r="G441" i="1" l="1"/>
  <c r="E441" i="1"/>
  <c r="F441" i="1"/>
  <c r="AC440" i="1"/>
  <c r="AB441" i="1"/>
  <c r="U441" i="1" s="1"/>
  <c r="AA440" i="1"/>
  <c r="O439" i="1"/>
  <c r="A444" i="1"/>
  <c r="Z441" i="1"/>
  <c r="L441" i="1" s="1"/>
  <c r="B447" i="1"/>
  <c r="X438" i="1"/>
  <c r="L442" i="1" l="1"/>
  <c r="C441" i="1"/>
  <c r="U442" i="1"/>
  <c r="D441" i="1"/>
  <c r="L443" i="1"/>
  <c r="L444" i="1" s="1"/>
  <c r="E447" i="1"/>
  <c r="F447" i="1"/>
  <c r="G447" i="1"/>
  <c r="AC441" i="1"/>
  <c r="U443" i="1"/>
  <c r="U444" i="1" s="1"/>
  <c r="X440" i="1"/>
  <c r="AB447" i="1"/>
  <c r="AC447" i="1" s="1"/>
  <c r="A447" i="1"/>
  <c r="X439" i="1"/>
  <c r="O440" i="1"/>
  <c r="AA441" i="1"/>
  <c r="B448" i="1"/>
  <c r="Z447" i="1"/>
  <c r="L447" i="1" l="1"/>
  <c r="C447" i="1" s="1"/>
  <c r="AB448" i="1"/>
  <c r="AC448" i="1" s="1"/>
  <c r="E448" i="1"/>
  <c r="F448" i="1"/>
  <c r="G448" i="1"/>
  <c r="X441" i="1"/>
  <c r="X442" i="1" s="1"/>
  <c r="AA447" i="1"/>
  <c r="O441" i="1"/>
  <c r="O442" i="1" s="1"/>
  <c r="Z448" i="1"/>
  <c r="L448" i="1" s="1"/>
  <c r="B449" i="1"/>
  <c r="U448" i="1" l="1"/>
  <c r="D448" i="1" s="1"/>
  <c r="C448" i="1"/>
  <c r="U447" i="1"/>
  <c r="D447" i="1" s="1"/>
  <c r="AB449" i="1"/>
  <c r="AC449" i="1" s="1"/>
  <c r="E449" i="1"/>
  <c r="F449" i="1"/>
  <c r="G449" i="1"/>
  <c r="X443" i="1"/>
  <c r="X444" i="1" s="1"/>
  <c r="AA448" i="1"/>
  <c r="B450" i="1"/>
  <c r="Z449" i="1"/>
  <c r="L449" i="1" s="1"/>
  <c r="C449" i="1" s="1"/>
  <c r="O447" i="1"/>
  <c r="O443" i="1"/>
  <c r="O444" i="1" s="1"/>
  <c r="U449" i="1" l="1"/>
  <c r="D449" i="1" s="1"/>
  <c r="AB450" i="1"/>
  <c r="AC450" i="1" s="1"/>
  <c r="E450" i="1"/>
  <c r="F450" i="1"/>
  <c r="G450" i="1"/>
  <c r="AA449" i="1"/>
  <c r="X447" i="1"/>
  <c r="O448" i="1"/>
  <c r="Z450" i="1"/>
  <c r="L450" i="1" s="1"/>
  <c r="C450" i="1" s="1"/>
  <c r="B451" i="1"/>
  <c r="U450" i="1" l="1"/>
  <c r="D450" i="1" s="1"/>
  <c r="AB451" i="1"/>
  <c r="AC451" i="1" s="1"/>
  <c r="E451" i="1"/>
  <c r="F451" i="1"/>
  <c r="G451" i="1"/>
  <c r="O449" i="1"/>
  <c r="B452" i="1"/>
  <c r="Z451" i="1"/>
  <c r="L451" i="1" s="1"/>
  <c r="C451" i="1" s="1"/>
  <c r="X448" i="1"/>
  <c r="AA450" i="1"/>
  <c r="U451" i="1" l="1"/>
  <c r="D451" i="1" s="1"/>
  <c r="E452" i="1"/>
  <c r="F452" i="1"/>
  <c r="G452" i="1"/>
  <c r="AB452" i="1"/>
  <c r="U452" i="1" s="1"/>
  <c r="D452" i="1" s="1"/>
  <c r="AA451" i="1"/>
  <c r="X449" i="1"/>
  <c r="O450" i="1"/>
  <c r="Z452" i="1"/>
  <c r="L452" i="1" s="1"/>
  <c r="C452" i="1" s="1"/>
  <c r="B453" i="1"/>
  <c r="E453" i="1" l="1"/>
  <c r="F453" i="1"/>
  <c r="G453" i="1"/>
  <c r="AC452" i="1"/>
  <c r="AB453" i="1"/>
  <c r="U453" i="1" s="1"/>
  <c r="B459" i="1"/>
  <c r="A456" i="1"/>
  <c r="Z453" i="1"/>
  <c r="L453" i="1" s="1"/>
  <c r="AA452" i="1"/>
  <c r="O451" i="1"/>
  <c r="X450" i="1"/>
  <c r="U454" i="1" l="1"/>
  <c r="D453" i="1"/>
  <c r="L454" i="1"/>
  <c r="C453" i="1"/>
  <c r="E459" i="1"/>
  <c r="F459" i="1"/>
  <c r="G459" i="1"/>
  <c r="AC453" i="1"/>
  <c r="U455" i="1"/>
  <c r="U456" i="1" s="1"/>
  <c r="X452" i="1"/>
  <c r="AB459" i="1"/>
  <c r="AC459" i="1" s="1"/>
  <c r="A459" i="1"/>
  <c r="AA453" i="1"/>
  <c r="B460" i="1"/>
  <c r="Z459" i="1"/>
  <c r="X451" i="1"/>
  <c r="O452" i="1"/>
  <c r="L459" i="1" l="1"/>
  <c r="C459" i="1" s="1"/>
  <c r="L455" i="1"/>
  <c r="L456" i="1" s="1"/>
  <c r="AB460" i="1"/>
  <c r="AC460" i="1" s="1"/>
  <c r="E460" i="1"/>
  <c r="F460" i="1"/>
  <c r="G460" i="1"/>
  <c r="X453" i="1"/>
  <c r="X454" i="1" s="1"/>
  <c r="Z460" i="1"/>
  <c r="L460" i="1" s="1"/>
  <c r="B461" i="1"/>
  <c r="AA459" i="1"/>
  <c r="O453" i="1"/>
  <c r="O454" i="1" s="1"/>
  <c r="U460" i="1" l="1"/>
  <c r="D460" i="1" s="1"/>
  <c r="C460" i="1"/>
  <c r="U459" i="1"/>
  <c r="D459" i="1" s="1"/>
  <c r="AB461" i="1"/>
  <c r="AC461" i="1" s="1"/>
  <c r="E461" i="1"/>
  <c r="F461" i="1"/>
  <c r="G461" i="1"/>
  <c r="X455" i="1"/>
  <c r="X456" i="1" s="1"/>
  <c r="O459" i="1"/>
  <c r="O455" i="1"/>
  <c r="O456" i="1" s="1"/>
  <c r="Z461" i="1"/>
  <c r="L461" i="1" s="1"/>
  <c r="C461" i="1" s="1"/>
  <c r="B462" i="1"/>
  <c r="AA460" i="1"/>
  <c r="U461" i="1" l="1"/>
  <c r="D461" i="1" s="1"/>
  <c r="AB462" i="1"/>
  <c r="AC462" i="1" s="1"/>
  <c r="E462" i="1"/>
  <c r="F462" i="1"/>
  <c r="G462" i="1"/>
  <c r="AA461" i="1"/>
  <c r="X459" i="1"/>
  <c r="O460" i="1"/>
  <c r="B463" i="1"/>
  <c r="Z462" i="1"/>
  <c r="L462" i="1" s="1"/>
  <c r="C462" i="1" s="1"/>
  <c r="U462" i="1" l="1"/>
  <c r="D462" i="1" s="1"/>
  <c r="AB463" i="1"/>
  <c r="AC463" i="1" s="1"/>
  <c r="E463" i="1"/>
  <c r="F463" i="1"/>
  <c r="G463" i="1"/>
  <c r="AA462" i="1"/>
  <c r="X460" i="1"/>
  <c r="O461" i="1"/>
  <c r="B464" i="1"/>
  <c r="Z463" i="1"/>
  <c r="L463" i="1" s="1"/>
  <c r="C463" i="1" s="1"/>
  <c r="U463" i="1" l="1"/>
  <c r="D463" i="1" s="1"/>
  <c r="F464" i="1"/>
  <c r="G464" i="1"/>
  <c r="E464" i="1"/>
  <c r="AB464" i="1"/>
  <c r="U464" i="1" s="1"/>
  <c r="D464" i="1" s="1"/>
  <c r="AA463" i="1"/>
  <c r="Z464" i="1"/>
  <c r="L464" i="1" s="1"/>
  <c r="C464" i="1" s="1"/>
  <c r="B465" i="1"/>
  <c r="O462" i="1"/>
  <c r="X461" i="1"/>
  <c r="E465" i="1" l="1"/>
  <c r="F465" i="1"/>
  <c r="G465" i="1"/>
  <c r="AC464" i="1"/>
  <c r="AB465" i="1"/>
  <c r="U465" i="1" s="1"/>
  <c r="X462" i="1"/>
  <c r="O463" i="1"/>
  <c r="AA464" i="1"/>
  <c r="A468" i="1"/>
  <c r="Z465" i="1"/>
  <c r="L465" i="1" s="1"/>
  <c r="B471" i="1"/>
  <c r="L466" i="1" l="1"/>
  <c r="C465" i="1"/>
  <c r="L467" i="1" s="1"/>
  <c r="L468" i="1" s="1"/>
  <c r="U466" i="1"/>
  <c r="D465" i="1"/>
  <c r="E471" i="1"/>
  <c r="F471" i="1"/>
  <c r="G471" i="1"/>
  <c r="AC465" i="1"/>
  <c r="U467" i="1"/>
  <c r="U468" i="1" s="1"/>
  <c r="X464" i="1"/>
  <c r="AB471" i="1"/>
  <c r="AC471" i="1" s="1"/>
  <c r="A471" i="1"/>
  <c r="Z471" i="1"/>
  <c r="B472" i="1"/>
  <c r="X463" i="1"/>
  <c r="AA465" i="1"/>
  <c r="O464" i="1"/>
  <c r="L471" i="1" l="1"/>
  <c r="C471" i="1" s="1"/>
  <c r="E472" i="1"/>
  <c r="F472" i="1"/>
  <c r="G472" i="1"/>
  <c r="X465" i="1"/>
  <c r="X466" i="1" s="1"/>
  <c r="AB472" i="1"/>
  <c r="AA471" i="1"/>
  <c r="O465" i="1"/>
  <c r="O466" i="1" s="1"/>
  <c r="B473" i="1"/>
  <c r="Z472" i="1"/>
  <c r="L472" i="1" s="1"/>
  <c r="U472" i="1" l="1"/>
  <c r="D472" i="1" s="1"/>
  <c r="C472" i="1"/>
  <c r="U471" i="1"/>
  <c r="D471" i="1" s="1"/>
  <c r="AB473" i="1"/>
  <c r="AC473" i="1" s="1"/>
  <c r="E473" i="1"/>
  <c r="F473" i="1"/>
  <c r="G473" i="1"/>
  <c r="AA472" i="1"/>
  <c r="X467" i="1"/>
  <c r="X468" i="1" s="1"/>
  <c r="AC472" i="1"/>
  <c r="O471" i="1"/>
  <c r="Z473" i="1"/>
  <c r="L473" i="1" s="1"/>
  <c r="C473" i="1" s="1"/>
  <c r="B474" i="1"/>
  <c r="O467" i="1"/>
  <c r="O468" i="1" s="1"/>
  <c r="U473" i="1" l="1"/>
  <c r="D473" i="1" s="1"/>
  <c r="X471" i="1"/>
  <c r="AB474" i="1"/>
  <c r="AC474" i="1" s="1"/>
  <c r="E474" i="1"/>
  <c r="F474" i="1"/>
  <c r="G474" i="1"/>
  <c r="O472" i="1"/>
  <c r="X472" i="1"/>
  <c r="AA473" i="1"/>
  <c r="Z474" i="1"/>
  <c r="L474" i="1" s="1"/>
  <c r="C474" i="1" s="1"/>
  <c r="B475" i="1"/>
  <c r="U474" i="1" l="1"/>
  <c r="D474" i="1" s="1"/>
  <c r="AB475" i="1"/>
  <c r="AC475" i="1" s="1"/>
  <c r="E475" i="1"/>
  <c r="F475" i="1"/>
  <c r="G475" i="1"/>
  <c r="AA474" i="1"/>
  <c r="O473" i="1"/>
  <c r="Z475" i="1"/>
  <c r="L475" i="1" s="1"/>
  <c r="C475" i="1" s="1"/>
  <c r="B476" i="1"/>
  <c r="U475" i="1" l="1"/>
  <c r="D475" i="1" s="1"/>
  <c r="E476" i="1"/>
  <c r="F476" i="1"/>
  <c r="G476" i="1"/>
  <c r="AB476" i="1"/>
  <c r="U476" i="1" s="1"/>
  <c r="D476" i="1" s="1"/>
  <c r="AA475" i="1"/>
  <c r="Z476" i="1"/>
  <c r="L476" i="1" s="1"/>
  <c r="C476" i="1" s="1"/>
  <c r="B477" i="1"/>
  <c r="X473" i="1"/>
  <c r="O474" i="1"/>
  <c r="E477" i="1" l="1"/>
  <c r="F477" i="1"/>
  <c r="G477" i="1"/>
  <c r="AC476" i="1"/>
  <c r="AB477" i="1"/>
  <c r="U477" i="1" s="1"/>
  <c r="X474" i="1"/>
  <c r="B483" i="1"/>
  <c r="Z477" i="1"/>
  <c r="L477" i="1" s="1"/>
  <c r="A480" i="1"/>
  <c r="AA476" i="1"/>
  <c r="O475" i="1"/>
  <c r="U478" i="1" l="1"/>
  <c r="D477" i="1"/>
  <c r="L478" i="1"/>
  <c r="C477" i="1"/>
  <c r="L479" i="1" s="1"/>
  <c r="L480" i="1" s="1"/>
  <c r="F483" i="1"/>
  <c r="G483" i="1"/>
  <c r="E483" i="1"/>
  <c r="AC477" i="1"/>
  <c r="U479" i="1"/>
  <c r="U480" i="1" s="1"/>
  <c r="X476" i="1"/>
  <c r="AB483" i="1"/>
  <c r="AC483" i="1" s="1"/>
  <c r="A483" i="1"/>
  <c r="O476" i="1"/>
  <c r="AA477" i="1"/>
  <c r="X475" i="1"/>
  <c r="Z483" i="1"/>
  <c r="B484" i="1"/>
  <c r="L483" i="1" l="1"/>
  <c r="C483" i="1" s="1"/>
  <c r="AB484" i="1"/>
  <c r="AC484" i="1" s="1"/>
  <c r="E484" i="1"/>
  <c r="F484" i="1"/>
  <c r="G484" i="1"/>
  <c r="X477" i="1"/>
  <c r="X478" i="1" s="1"/>
  <c r="AA483" i="1"/>
  <c r="O477" i="1"/>
  <c r="O478" i="1" s="1"/>
  <c r="Z484" i="1"/>
  <c r="L484" i="1" s="1"/>
  <c r="B485" i="1"/>
  <c r="U484" i="1" l="1"/>
  <c r="D484" i="1" s="1"/>
  <c r="C484" i="1"/>
  <c r="U483" i="1"/>
  <c r="D483" i="1" s="1"/>
  <c r="AB485" i="1"/>
  <c r="AC485" i="1" s="1"/>
  <c r="E485" i="1"/>
  <c r="F485" i="1"/>
  <c r="G485" i="1"/>
  <c r="X479" i="1"/>
  <c r="X480" i="1" s="1"/>
  <c r="AA484" i="1"/>
  <c r="O483" i="1"/>
  <c r="O479" i="1"/>
  <c r="O480" i="1" s="1"/>
  <c r="B486" i="1"/>
  <c r="Z485" i="1"/>
  <c r="L485" i="1" s="1"/>
  <c r="C485" i="1" s="1"/>
  <c r="U485" i="1" l="1"/>
  <c r="D485" i="1" s="1"/>
  <c r="X483" i="1"/>
  <c r="AB486" i="1"/>
  <c r="AC486" i="1" s="1"/>
  <c r="E486" i="1"/>
  <c r="F486" i="1"/>
  <c r="G486" i="1"/>
  <c r="AA485" i="1"/>
  <c r="B487" i="1"/>
  <c r="Z486" i="1"/>
  <c r="L486" i="1" s="1"/>
  <c r="C486" i="1" s="1"/>
  <c r="O484" i="1"/>
  <c r="U486" i="1" l="1"/>
  <c r="D486" i="1" s="1"/>
  <c r="AB487" i="1"/>
  <c r="AC487" i="1" s="1"/>
  <c r="F487" i="1"/>
  <c r="G487" i="1"/>
  <c r="E487" i="1"/>
  <c r="AA486" i="1"/>
  <c r="B488" i="1"/>
  <c r="Z487" i="1"/>
  <c r="L487" i="1" s="1"/>
  <c r="C487" i="1" s="1"/>
  <c r="X484" i="1"/>
  <c r="O485" i="1"/>
  <c r="U487" i="1" l="1"/>
  <c r="D487" i="1" s="1"/>
  <c r="E488" i="1"/>
  <c r="F488" i="1"/>
  <c r="G488" i="1"/>
  <c r="AB488" i="1"/>
  <c r="U488" i="1" s="1"/>
  <c r="D488" i="1" s="1"/>
  <c r="AA487" i="1"/>
  <c r="B489" i="1"/>
  <c r="Z488" i="1"/>
  <c r="L488" i="1" s="1"/>
  <c r="C488" i="1" s="1"/>
  <c r="O486" i="1"/>
  <c r="X485" i="1"/>
  <c r="E489" i="1" l="1"/>
  <c r="F489" i="1"/>
  <c r="G489" i="1"/>
  <c r="AC488" i="1"/>
  <c r="AB489" i="1"/>
  <c r="U489" i="1" s="1"/>
  <c r="AA488" i="1"/>
  <c r="O487" i="1"/>
  <c r="X486" i="1"/>
  <c r="B495" i="1"/>
  <c r="A492" i="1"/>
  <c r="Z489" i="1"/>
  <c r="L489" i="1" s="1"/>
  <c r="L490" i="1" l="1"/>
  <c r="C489" i="1"/>
  <c r="L491" i="1" s="1"/>
  <c r="L492" i="1" s="1"/>
  <c r="U490" i="1"/>
  <c r="D489" i="1"/>
  <c r="U491" i="1" s="1"/>
  <c r="U492" i="1" s="1"/>
  <c r="E495" i="1"/>
  <c r="F495" i="1"/>
  <c r="G495" i="1"/>
  <c r="AC489" i="1"/>
  <c r="X488" i="1"/>
  <c r="AB495" i="1"/>
  <c r="AC495" i="1" s="1"/>
  <c r="A495" i="1"/>
  <c r="AA489" i="1"/>
  <c r="O488" i="1"/>
  <c r="B496" i="1"/>
  <c r="Z495" i="1"/>
  <c r="X487" i="1"/>
  <c r="L495" i="1" l="1"/>
  <c r="C495" i="1" s="1"/>
  <c r="E496" i="1"/>
  <c r="F496" i="1"/>
  <c r="G496" i="1"/>
  <c r="X489" i="1"/>
  <c r="X490" i="1" s="1"/>
  <c r="AB496" i="1"/>
  <c r="AA495" i="1"/>
  <c r="Z496" i="1"/>
  <c r="L496" i="1" s="1"/>
  <c r="B497" i="1"/>
  <c r="O489" i="1"/>
  <c r="O490" i="1" s="1"/>
  <c r="U496" i="1" l="1"/>
  <c r="D496" i="1" s="1"/>
  <c r="C496" i="1"/>
  <c r="U495" i="1"/>
  <c r="D495" i="1" s="1"/>
  <c r="AB497" i="1"/>
  <c r="AC497" i="1" s="1"/>
  <c r="E497" i="1"/>
  <c r="F497" i="1"/>
  <c r="G497" i="1"/>
  <c r="AA496" i="1"/>
  <c r="X491" i="1"/>
  <c r="X492" i="1" s="1"/>
  <c r="AC496" i="1"/>
  <c r="O495" i="1"/>
  <c r="Z497" i="1"/>
  <c r="L497" i="1" s="1"/>
  <c r="C497" i="1" s="1"/>
  <c r="B498" i="1"/>
  <c r="O491" i="1"/>
  <c r="O492" i="1" s="1"/>
  <c r="U497" i="1" l="1"/>
  <c r="D497" i="1" s="1"/>
  <c r="X495" i="1"/>
  <c r="AB498" i="1"/>
  <c r="AC498" i="1" s="1"/>
  <c r="G498" i="1"/>
  <c r="E498" i="1"/>
  <c r="F498" i="1"/>
  <c r="O496" i="1"/>
  <c r="X496" i="1"/>
  <c r="AA497" i="1"/>
  <c r="Z498" i="1"/>
  <c r="L498" i="1" s="1"/>
  <c r="C498" i="1" s="1"/>
  <c r="B499" i="1"/>
  <c r="U498" i="1" l="1"/>
  <c r="D498" i="1" s="1"/>
  <c r="AB499" i="1"/>
  <c r="AC499" i="1" s="1"/>
  <c r="E499" i="1"/>
  <c r="F499" i="1"/>
  <c r="G499" i="1"/>
  <c r="AA498" i="1"/>
  <c r="Z499" i="1"/>
  <c r="L499" i="1" s="1"/>
  <c r="C499" i="1" s="1"/>
  <c r="B500" i="1"/>
  <c r="O497" i="1"/>
  <c r="U499" i="1" l="1"/>
  <c r="D499" i="1" s="1"/>
  <c r="E500" i="1"/>
  <c r="F500" i="1"/>
  <c r="G500" i="1"/>
  <c r="AB500" i="1"/>
  <c r="U500" i="1" s="1"/>
  <c r="D500" i="1" s="1"/>
  <c r="X497" i="1"/>
  <c r="Z500" i="1"/>
  <c r="L500" i="1" s="1"/>
  <c r="C500" i="1" s="1"/>
  <c r="B501" i="1"/>
  <c r="AA499" i="1"/>
  <c r="O498" i="1"/>
  <c r="G501" i="1" l="1"/>
  <c r="E501" i="1"/>
  <c r="F501" i="1"/>
  <c r="AC500" i="1"/>
  <c r="AB501" i="1"/>
  <c r="U501" i="1" s="1"/>
  <c r="AA500" i="1"/>
  <c r="A504" i="1"/>
  <c r="B507" i="1"/>
  <c r="Z501" i="1"/>
  <c r="L501" i="1" s="1"/>
  <c r="X498" i="1"/>
  <c r="O499" i="1"/>
  <c r="L502" i="1" l="1"/>
  <c r="C501" i="1"/>
  <c r="U502" i="1"/>
  <c r="D501" i="1"/>
  <c r="U503" i="1" s="1"/>
  <c r="U504" i="1" s="1"/>
  <c r="E507" i="1"/>
  <c r="F507" i="1"/>
  <c r="G507" i="1"/>
  <c r="AC501" i="1"/>
  <c r="X500" i="1"/>
  <c r="AB507" i="1"/>
  <c r="AC507" i="1" s="1"/>
  <c r="A507" i="1"/>
  <c r="AA501" i="1"/>
  <c r="Z507" i="1"/>
  <c r="B508" i="1"/>
  <c r="O500" i="1"/>
  <c r="X499" i="1"/>
  <c r="L507" i="1" l="1"/>
  <c r="C507" i="1" s="1"/>
  <c r="L503" i="1"/>
  <c r="L504" i="1" s="1"/>
  <c r="AB508" i="1"/>
  <c r="AC508" i="1" s="1"/>
  <c r="E508" i="1"/>
  <c r="F508" i="1"/>
  <c r="G508" i="1"/>
  <c r="X501" i="1"/>
  <c r="X502" i="1" s="1"/>
  <c r="Z508" i="1"/>
  <c r="L508" i="1" s="1"/>
  <c r="B509" i="1"/>
  <c r="AA507" i="1"/>
  <c r="O501" i="1"/>
  <c r="O502" i="1" s="1"/>
  <c r="U508" i="1" l="1"/>
  <c r="D508" i="1" s="1"/>
  <c r="C508" i="1"/>
  <c r="U507" i="1"/>
  <c r="D507" i="1" s="1"/>
  <c r="AB509" i="1"/>
  <c r="AC509" i="1" s="1"/>
  <c r="E509" i="1"/>
  <c r="F509" i="1"/>
  <c r="G509" i="1"/>
  <c r="X503" i="1"/>
  <c r="X504" i="1" s="1"/>
  <c r="AA508" i="1"/>
  <c r="O503" i="1"/>
  <c r="O504" i="1" s="1"/>
  <c r="O507" i="1"/>
  <c r="Z509" i="1"/>
  <c r="L509" i="1" s="1"/>
  <c r="C509" i="1" s="1"/>
  <c r="B510" i="1"/>
  <c r="U509" i="1" l="1"/>
  <c r="D509" i="1" s="1"/>
  <c r="AB510" i="1"/>
  <c r="AC510" i="1" s="1"/>
  <c r="E510" i="1"/>
  <c r="F510" i="1"/>
  <c r="G510" i="1"/>
  <c r="Z510" i="1"/>
  <c r="L510" i="1" s="1"/>
  <c r="C510" i="1" s="1"/>
  <c r="B511" i="1"/>
  <c r="AA509" i="1"/>
  <c r="X507" i="1"/>
  <c r="O508" i="1"/>
  <c r="U510" i="1" l="1"/>
  <c r="D510" i="1" s="1"/>
  <c r="AB511" i="1"/>
  <c r="AC511" i="1" s="1"/>
  <c r="E511" i="1"/>
  <c r="F511" i="1"/>
  <c r="G511" i="1"/>
  <c r="AA510" i="1"/>
  <c r="X508" i="1"/>
  <c r="Z511" i="1"/>
  <c r="L511" i="1" s="1"/>
  <c r="C511" i="1" s="1"/>
  <c r="B512" i="1"/>
  <c r="O509" i="1"/>
  <c r="U511" i="1" l="1"/>
  <c r="D511" i="1" s="1"/>
  <c r="E512" i="1"/>
  <c r="F512" i="1"/>
  <c r="G512" i="1"/>
  <c r="AB512" i="1"/>
  <c r="U512" i="1" s="1"/>
  <c r="D512" i="1" s="1"/>
  <c r="AA511" i="1"/>
  <c r="X509" i="1"/>
  <c r="B513" i="1"/>
  <c r="Z512" i="1"/>
  <c r="L512" i="1" s="1"/>
  <c r="C512" i="1" s="1"/>
  <c r="O510" i="1"/>
  <c r="E513" i="1" l="1"/>
  <c r="F513" i="1"/>
  <c r="G513" i="1"/>
  <c r="AC512" i="1"/>
  <c r="AB513" i="1"/>
  <c r="U513" i="1" s="1"/>
  <c r="AA512" i="1"/>
  <c r="Z513" i="1"/>
  <c r="L513" i="1" s="1"/>
  <c r="B519" i="1"/>
  <c r="A516" i="1"/>
  <c r="O511" i="1"/>
  <c r="X510" i="1"/>
  <c r="L514" i="1" l="1"/>
  <c r="C513" i="1"/>
  <c r="U514" i="1"/>
  <c r="D513" i="1"/>
  <c r="U515" i="1" s="1"/>
  <c r="U516" i="1" s="1"/>
  <c r="E519" i="1"/>
  <c r="F519" i="1"/>
  <c r="G519" i="1"/>
  <c r="AC513" i="1"/>
  <c r="X512" i="1"/>
  <c r="AB519" i="1"/>
  <c r="AC519" i="1" s="1"/>
  <c r="A519" i="1"/>
  <c r="X511" i="1"/>
  <c r="Z519" i="1"/>
  <c r="B520" i="1"/>
  <c r="O512" i="1"/>
  <c r="AA513" i="1"/>
  <c r="L519" i="1" l="1"/>
  <c r="C519" i="1" s="1"/>
  <c r="L515" i="1"/>
  <c r="L516" i="1" s="1"/>
  <c r="AB520" i="1"/>
  <c r="AC520" i="1" s="1"/>
  <c r="E520" i="1"/>
  <c r="F520" i="1"/>
  <c r="G520" i="1"/>
  <c r="X513" i="1"/>
  <c r="X514" i="1" s="1"/>
  <c r="AA519" i="1"/>
  <c r="B521" i="1"/>
  <c r="Z520" i="1"/>
  <c r="L520" i="1" s="1"/>
  <c r="O513" i="1"/>
  <c r="O514" i="1" s="1"/>
  <c r="U520" i="1" l="1"/>
  <c r="D520" i="1" s="1"/>
  <c r="C520" i="1"/>
  <c r="U519" i="1"/>
  <c r="D519" i="1" s="1"/>
  <c r="AB521" i="1"/>
  <c r="AC521" i="1" s="1"/>
  <c r="E521" i="1"/>
  <c r="F521" i="1"/>
  <c r="G521" i="1"/>
  <c r="X515" i="1"/>
  <c r="X516" i="1" s="1"/>
  <c r="AA520" i="1"/>
  <c r="O515" i="1"/>
  <c r="O516" i="1" s="1"/>
  <c r="O519" i="1"/>
  <c r="B522" i="1"/>
  <c r="Z521" i="1"/>
  <c r="L521" i="1" s="1"/>
  <c r="C521" i="1" s="1"/>
  <c r="U521" i="1" l="1"/>
  <c r="D521" i="1" s="1"/>
  <c r="AB522" i="1"/>
  <c r="AC522" i="1" s="1"/>
  <c r="E522" i="1"/>
  <c r="F522" i="1"/>
  <c r="G522" i="1"/>
  <c r="X519" i="1"/>
  <c r="AA521" i="1"/>
  <c r="B523" i="1"/>
  <c r="Z522" i="1"/>
  <c r="L522" i="1" s="1"/>
  <c r="C522" i="1" s="1"/>
  <c r="O520" i="1"/>
  <c r="U522" i="1" l="1"/>
  <c r="D522" i="1" s="1"/>
  <c r="AB523" i="1"/>
  <c r="AC523" i="1" s="1"/>
  <c r="E523" i="1"/>
  <c r="F523" i="1"/>
  <c r="G523" i="1"/>
  <c r="AA522" i="1"/>
  <c r="X520" i="1"/>
  <c r="O521" i="1"/>
  <c r="Z523" i="1"/>
  <c r="L523" i="1" s="1"/>
  <c r="C523" i="1" s="1"/>
  <c r="B524" i="1"/>
  <c r="U523" i="1" l="1"/>
  <c r="D523" i="1" s="1"/>
  <c r="G524" i="1"/>
  <c r="E524" i="1"/>
  <c r="F524" i="1"/>
  <c r="AB524" i="1"/>
  <c r="U524" i="1" s="1"/>
  <c r="D524" i="1" s="1"/>
  <c r="Z524" i="1"/>
  <c r="L524" i="1" s="1"/>
  <c r="C524" i="1" s="1"/>
  <c r="B525" i="1"/>
  <c r="AA523" i="1"/>
  <c r="O522" i="1"/>
  <c r="X521" i="1"/>
  <c r="E525" i="1" l="1"/>
  <c r="F525" i="1"/>
  <c r="G525" i="1"/>
  <c r="AC524" i="1"/>
  <c r="AB525" i="1"/>
  <c r="U525" i="1" s="1"/>
  <c r="X522" i="1"/>
  <c r="AA524" i="1"/>
  <c r="Z525" i="1"/>
  <c r="L525" i="1" s="1"/>
  <c r="B531" i="1"/>
  <c r="A528" i="1"/>
  <c r="O523" i="1"/>
  <c r="L526" i="1" l="1"/>
  <c r="C525" i="1"/>
  <c r="U526" i="1"/>
  <c r="D525" i="1"/>
  <c r="U527" i="1" s="1"/>
  <c r="U528" i="1" s="1"/>
  <c r="E531" i="1"/>
  <c r="F531" i="1"/>
  <c r="G531" i="1"/>
  <c r="AC525" i="1"/>
  <c r="X524" i="1"/>
  <c r="AB531" i="1"/>
  <c r="AC531" i="1" s="1"/>
  <c r="A531" i="1"/>
  <c r="X523" i="1"/>
  <c r="B532" i="1"/>
  <c r="Z531" i="1"/>
  <c r="O524" i="1"/>
  <c r="AA525" i="1"/>
  <c r="L527" i="1" l="1"/>
  <c r="L528" i="1" s="1"/>
  <c r="L531" i="1"/>
  <c r="AB532" i="1"/>
  <c r="AC532" i="1" s="1"/>
  <c r="F532" i="1"/>
  <c r="G532" i="1"/>
  <c r="E532" i="1"/>
  <c r="AA531" i="1"/>
  <c r="X525" i="1"/>
  <c r="X526" i="1" s="1"/>
  <c r="Z532" i="1"/>
  <c r="L532" i="1" s="1"/>
  <c r="B533" i="1"/>
  <c r="O525" i="1"/>
  <c r="O526" i="1" s="1"/>
  <c r="U532" i="1" l="1"/>
  <c r="D532" i="1" s="1"/>
  <c r="C532" i="1"/>
  <c r="U531" i="1"/>
  <c r="D531" i="1" s="1"/>
  <c r="C531" i="1"/>
  <c r="E533" i="1"/>
  <c r="F533" i="1"/>
  <c r="G533" i="1"/>
  <c r="AA532" i="1"/>
  <c r="O531" i="1"/>
  <c r="X527" i="1"/>
  <c r="X528" i="1" s="1"/>
  <c r="AB533" i="1"/>
  <c r="O527" i="1"/>
  <c r="O528" i="1" s="1"/>
  <c r="Z533" i="1"/>
  <c r="L533" i="1" s="1"/>
  <c r="C533" i="1" s="1"/>
  <c r="B534" i="1"/>
  <c r="U533" i="1" l="1"/>
  <c r="D533" i="1" s="1"/>
  <c r="AB534" i="1"/>
  <c r="AC534" i="1" s="1"/>
  <c r="E534" i="1"/>
  <c r="F534" i="1"/>
  <c r="G534" i="1"/>
  <c r="X531" i="1"/>
  <c r="AA533" i="1"/>
  <c r="O532" i="1"/>
  <c r="AC533" i="1"/>
  <c r="Z534" i="1"/>
  <c r="L534" i="1" s="1"/>
  <c r="C534" i="1" s="1"/>
  <c r="B535" i="1"/>
  <c r="U534" i="1" l="1"/>
  <c r="D534" i="1" s="1"/>
  <c r="AB535" i="1"/>
  <c r="AC535" i="1" s="1"/>
  <c r="E535" i="1"/>
  <c r="F535" i="1"/>
  <c r="G535" i="1"/>
  <c r="X532" i="1"/>
  <c r="O533" i="1"/>
  <c r="X533" i="1"/>
  <c r="AA534" i="1"/>
  <c r="B536" i="1"/>
  <c r="Z535" i="1"/>
  <c r="L535" i="1" s="1"/>
  <c r="C535" i="1" s="1"/>
  <c r="U535" i="1" l="1"/>
  <c r="D535" i="1" s="1"/>
  <c r="E536" i="1"/>
  <c r="F536" i="1"/>
  <c r="G536" i="1"/>
  <c r="AB536" i="1"/>
  <c r="U536" i="1" s="1"/>
  <c r="D536" i="1" s="1"/>
  <c r="AA535" i="1"/>
  <c r="B537" i="1"/>
  <c r="Z536" i="1"/>
  <c r="L536" i="1" s="1"/>
  <c r="C536" i="1" s="1"/>
  <c r="O534" i="1"/>
  <c r="E537" i="1" l="1"/>
  <c r="F537" i="1"/>
  <c r="G537" i="1"/>
  <c r="AC536" i="1"/>
  <c r="AB537" i="1"/>
  <c r="U537" i="1" s="1"/>
  <c r="Z537" i="1"/>
  <c r="L537" i="1" s="1"/>
  <c r="B543" i="1"/>
  <c r="A540" i="1"/>
  <c r="X534" i="1"/>
  <c r="AA536" i="1"/>
  <c r="O535" i="1"/>
  <c r="U538" i="1" l="1"/>
  <c r="D537" i="1"/>
  <c r="L538" i="1"/>
  <c r="C537" i="1"/>
  <c r="E543" i="1"/>
  <c r="F543" i="1"/>
  <c r="G543" i="1"/>
  <c r="X536" i="1"/>
  <c r="AC537" i="1"/>
  <c r="U539" i="1"/>
  <c r="U540" i="1" s="1"/>
  <c r="AB543" i="1"/>
  <c r="A543" i="1"/>
  <c r="AA537" i="1"/>
  <c r="X535" i="1"/>
  <c r="Z543" i="1"/>
  <c r="B544" i="1"/>
  <c r="O536" i="1"/>
  <c r="L543" i="1" l="1"/>
  <c r="L539" i="1"/>
  <c r="L540" i="1" s="1"/>
  <c r="E544" i="1"/>
  <c r="F544" i="1"/>
  <c r="G544" i="1"/>
  <c r="X537" i="1"/>
  <c r="X538" i="1" s="1"/>
  <c r="AC543" i="1"/>
  <c r="AB544" i="1"/>
  <c r="AA543" i="1"/>
  <c r="O537" i="1"/>
  <c r="O538" i="1" s="1"/>
  <c r="B545" i="1"/>
  <c r="Z544" i="1"/>
  <c r="L544" i="1" s="1"/>
  <c r="C544" i="1" s="1"/>
  <c r="U543" i="1" l="1"/>
  <c r="D543" i="1" s="1"/>
  <c r="C543" i="1"/>
  <c r="U544" i="1"/>
  <c r="D544" i="1" s="1"/>
  <c r="O543" i="1"/>
  <c r="O544" i="1"/>
  <c r="AB545" i="1"/>
  <c r="AC545" i="1" s="1"/>
  <c r="G545" i="1"/>
  <c r="E545" i="1"/>
  <c r="F545" i="1"/>
  <c r="X539" i="1"/>
  <c r="X540" i="1" s="1"/>
  <c r="AC544" i="1"/>
  <c r="O539" i="1"/>
  <c r="O540" i="1" s="1"/>
  <c r="AA544" i="1"/>
  <c r="B546" i="1"/>
  <c r="Z545" i="1"/>
  <c r="L545" i="1" s="1"/>
  <c r="U545" i="1" l="1"/>
  <c r="D545" i="1" s="1"/>
  <c r="C545" i="1"/>
  <c r="X543" i="1"/>
  <c r="AB546" i="1"/>
  <c r="AC546" i="1" s="1"/>
  <c r="E546" i="1"/>
  <c r="F546" i="1"/>
  <c r="G546" i="1"/>
  <c r="AA545" i="1"/>
  <c r="B547" i="1"/>
  <c r="Z546" i="1"/>
  <c r="L546" i="1" s="1"/>
  <c r="C546" i="1" s="1"/>
  <c r="X544" i="1"/>
  <c r="U546" i="1" l="1"/>
  <c r="D546" i="1" s="1"/>
  <c r="E547" i="1"/>
  <c r="F547" i="1"/>
  <c r="G547" i="1"/>
  <c r="AB547" i="1"/>
  <c r="O545" i="1"/>
  <c r="AA546" i="1"/>
  <c r="Z547" i="1"/>
  <c r="L547" i="1" s="1"/>
  <c r="C547" i="1" s="1"/>
  <c r="B548" i="1"/>
  <c r="U547" i="1" l="1"/>
  <c r="D547" i="1" s="1"/>
  <c r="E548" i="1"/>
  <c r="F548" i="1"/>
  <c r="G548" i="1"/>
  <c r="AA547" i="1"/>
  <c r="AC547" i="1"/>
  <c r="AB548" i="1"/>
  <c r="U548" i="1" s="1"/>
  <c r="D548" i="1" s="1"/>
  <c r="B549" i="1"/>
  <c r="Z548" i="1"/>
  <c r="L548" i="1" s="1"/>
  <c r="C548" i="1" s="1"/>
  <c r="O546" i="1"/>
  <c r="X545" i="1"/>
  <c r="E549" i="1" l="1"/>
  <c r="F549" i="1"/>
  <c r="G549" i="1"/>
  <c r="O547" i="1"/>
  <c r="AC548" i="1"/>
  <c r="X547" i="1"/>
  <c r="AB549" i="1"/>
  <c r="U549" i="1" s="1"/>
  <c r="X546" i="1"/>
  <c r="Z549" i="1"/>
  <c r="L549" i="1" s="1"/>
  <c r="B555" i="1"/>
  <c r="A552" i="1"/>
  <c r="AA548" i="1"/>
  <c r="L550" i="1" l="1"/>
  <c r="C549" i="1"/>
  <c r="U550" i="1"/>
  <c r="D549" i="1"/>
  <c r="U551" i="1" s="1"/>
  <c r="U552" i="1" s="1"/>
  <c r="E555" i="1"/>
  <c r="F555" i="1"/>
  <c r="G555" i="1"/>
  <c r="X548" i="1"/>
  <c r="AC549" i="1"/>
  <c r="AB555" i="1"/>
  <c r="A555" i="1"/>
  <c r="AA549" i="1"/>
  <c r="O548" i="1"/>
  <c r="Z555" i="1"/>
  <c r="B556" i="1"/>
  <c r="L555" i="1" l="1"/>
  <c r="C555" i="1" s="1"/>
  <c r="L551" i="1"/>
  <c r="L552" i="1" s="1"/>
  <c r="E556" i="1"/>
  <c r="F556" i="1"/>
  <c r="G556" i="1"/>
  <c r="AA555" i="1"/>
  <c r="AC555" i="1"/>
  <c r="X549" i="1"/>
  <c r="X550" i="1" s="1"/>
  <c r="AB556" i="1"/>
  <c r="B557" i="1"/>
  <c r="Z556" i="1"/>
  <c r="L556" i="1" s="1"/>
  <c r="O549" i="1"/>
  <c r="O550" i="1" s="1"/>
  <c r="U556" i="1" l="1"/>
  <c r="D556" i="1" s="1"/>
  <c r="C556" i="1"/>
  <c r="U555" i="1"/>
  <c r="D555" i="1" s="1"/>
  <c r="AB557" i="1"/>
  <c r="AC557" i="1" s="1"/>
  <c r="E557" i="1"/>
  <c r="F557" i="1"/>
  <c r="G557" i="1"/>
  <c r="O555" i="1"/>
  <c r="AC556" i="1"/>
  <c r="X551" i="1"/>
  <c r="X552" i="1" s="1"/>
  <c r="O551" i="1"/>
  <c r="O552" i="1" s="1"/>
  <c r="AA556" i="1"/>
  <c r="Z557" i="1"/>
  <c r="L557" i="1" s="1"/>
  <c r="C557" i="1" s="1"/>
  <c r="B558" i="1"/>
  <c r="U557" i="1" l="1"/>
  <c r="D557" i="1" s="1"/>
  <c r="O556" i="1"/>
  <c r="X555" i="1"/>
  <c r="AB558" i="1"/>
  <c r="AC558" i="1" s="1"/>
  <c r="E558" i="1"/>
  <c r="F558" i="1"/>
  <c r="G558" i="1"/>
  <c r="X556" i="1"/>
  <c r="AA557" i="1"/>
  <c r="Z558" i="1"/>
  <c r="L558" i="1" s="1"/>
  <c r="C558" i="1" s="1"/>
  <c r="B559" i="1"/>
  <c r="U558" i="1" l="1"/>
  <c r="D558" i="1" s="1"/>
  <c r="E559" i="1"/>
  <c r="F559" i="1"/>
  <c r="G559" i="1"/>
  <c r="AB559" i="1"/>
  <c r="AA558" i="1"/>
  <c r="B560" i="1"/>
  <c r="Z559" i="1"/>
  <c r="L559" i="1" s="1"/>
  <c r="C559" i="1" s="1"/>
  <c r="O557" i="1"/>
  <c r="U559" i="1" l="1"/>
  <c r="D559" i="1" s="1"/>
  <c r="F560" i="1"/>
  <c r="G560" i="1"/>
  <c r="E560" i="1"/>
  <c r="AA559" i="1"/>
  <c r="AC559" i="1"/>
  <c r="AB560" i="1"/>
  <c r="U560" i="1" s="1"/>
  <c r="D560" i="1" s="1"/>
  <c r="X557" i="1"/>
  <c r="Z560" i="1"/>
  <c r="L560" i="1" s="1"/>
  <c r="C560" i="1" s="1"/>
  <c r="B561" i="1"/>
  <c r="O558" i="1"/>
  <c r="E561" i="1" l="1"/>
  <c r="F561" i="1"/>
  <c r="G561" i="1"/>
  <c r="O559" i="1"/>
  <c r="AC560" i="1"/>
  <c r="X559" i="1"/>
  <c r="AB561" i="1"/>
  <c r="U561" i="1" s="1"/>
  <c r="Z561" i="1"/>
  <c r="L561" i="1" s="1"/>
  <c r="A564" i="1"/>
  <c r="B567" i="1"/>
  <c r="AA560" i="1"/>
  <c r="X558" i="1"/>
  <c r="L562" i="1" l="1"/>
  <c r="C561" i="1"/>
  <c r="L563" i="1" s="1"/>
  <c r="L564" i="1" s="1"/>
  <c r="U562" i="1"/>
  <c r="D561" i="1"/>
  <c r="U563" i="1" s="1"/>
  <c r="U564" i="1" s="1"/>
  <c r="E567" i="1"/>
  <c r="F567" i="1"/>
  <c r="G567" i="1"/>
  <c r="AC561" i="1"/>
  <c r="X560" i="1"/>
  <c r="AB567" i="1"/>
  <c r="AC567" i="1" s="1"/>
  <c r="A567" i="1"/>
  <c r="AA561" i="1"/>
  <c r="O560" i="1"/>
  <c r="Z567" i="1"/>
  <c r="B568" i="1"/>
  <c r="L567" i="1" l="1"/>
  <c r="C567" i="1" s="1"/>
  <c r="AB568" i="1"/>
  <c r="AC568" i="1" s="1"/>
  <c r="E568" i="1"/>
  <c r="F568" i="1"/>
  <c r="G568" i="1"/>
  <c r="X561" i="1"/>
  <c r="X562" i="1" s="1"/>
  <c r="AA567" i="1"/>
  <c r="O561" i="1"/>
  <c r="O562" i="1" s="1"/>
  <c r="B569" i="1"/>
  <c r="Z568" i="1"/>
  <c r="L568" i="1" s="1"/>
  <c r="U568" i="1" l="1"/>
  <c r="D568" i="1" s="1"/>
  <c r="C568" i="1"/>
  <c r="U567" i="1"/>
  <c r="D567" i="1" s="1"/>
  <c r="AB569" i="1"/>
  <c r="AC569" i="1" s="1"/>
  <c r="E569" i="1"/>
  <c r="F569" i="1"/>
  <c r="G569" i="1"/>
  <c r="X563" i="1"/>
  <c r="X564" i="1" s="1"/>
  <c r="O563" i="1"/>
  <c r="O564" i="1" s="1"/>
  <c r="AA568" i="1"/>
  <c r="Z569" i="1"/>
  <c r="L569" i="1" s="1"/>
  <c r="B570" i="1"/>
  <c r="O567" i="1"/>
  <c r="U569" i="1" l="1"/>
  <c r="D569" i="1" s="1"/>
  <c r="C569" i="1"/>
  <c r="AB570" i="1"/>
  <c r="AC570" i="1" s="1"/>
  <c r="E570" i="1"/>
  <c r="F570" i="1"/>
  <c r="G570" i="1"/>
  <c r="AA569" i="1"/>
  <c r="O568" i="1"/>
  <c r="X567" i="1"/>
  <c r="B571" i="1"/>
  <c r="Z570" i="1"/>
  <c r="L570" i="1" s="1"/>
  <c r="C570" i="1" s="1"/>
  <c r="U570" i="1" l="1"/>
  <c r="D570" i="1" s="1"/>
  <c r="AB571" i="1"/>
  <c r="AC571" i="1" s="1"/>
  <c r="E571" i="1"/>
  <c r="F571" i="1"/>
  <c r="G571" i="1"/>
  <c r="AA570" i="1"/>
  <c r="B572" i="1"/>
  <c r="Z571" i="1"/>
  <c r="L571" i="1" s="1"/>
  <c r="C571" i="1" s="1"/>
  <c r="X568" i="1"/>
  <c r="O569" i="1"/>
  <c r="U571" i="1" l="1"/>
  <c r="D571" i="1" s="1"/>
  <c r="E572" i="1"/>
  <c r="F572" i="1"/>
  <c r="G572" i="1"/>
  <c r="AB572" i="1"/>
  <c r="U572" i="1" s="1"/>
  <c r="D572" i="1" s="1"/>
  <c r="AA571" i="1"/>
  <c r="X569" i="1"/>
  <c r="B573" i="1"/>
  <c r="Z572" i="1"/>
  <c r="L572" i="1" s="1"/>
  <c r="C572" i="1" s="1"/>
  <c r="O570" i="1"/>
  <c r="E573" i="1" l="1"/>
  <c r="F573" i="1"/>
  <c r="G573" i="1"/>
  <c r="AC572" i="1"/>
  <c r="AB573" i="1"/>
  <c r="U573" i="1" s="1"/>
  <c r="X570" i="1"/>
  <c r="A576" i="1"/>
  <c r="B579" i="1"/>
  <c r="Z573" i="1"/>
  <c r="L573" i="1" s="1"/>
  <c r="O571" i="1"/>
  <c r="AA572" i="1"/>
  <c r="L574" i="1" l="1"/>
  <c r="C573" i="1"/>
  <c r="U574" i="1"/>
  <c r="D573" i="1"/>
  <c r="U575" i="1" s="1"/>
  <c r="U576" i="1" s="1"/>
  <c r="F579" i="1"/>
  <c r="G579" i="1"/>
  <c r="E579" i="1"/>
  <c r="AC573" i="1"/>
  <c r="X572" i="1"/>
  <c r="AB579" i="1"/>
  <c r="AC579" i="1" s="1"/>
  <c r="A579" i="1"/>
  <c r="O572" i="1"/>
  <c r="Z579" i="1"/>
  <c r="B580" i="1"/>
  <c r="AA573" i="1"/>
  <c r="X571" i="1"/>
  <c r="L579" i="1" l="1"/>
  <c r="C579" i="1" s="1"/>
  <c r="L575" i="1"/>
  <c r="L576" i="1" s="1"/>
  <c r="E580" i="1"/>
  <c r="F580" i="1"/>
  <c r="G580" i="1"/>
  <c r="X573" i="1"/>
  <c r="X574" i="1" s="1"/>
  <c r="AB580" i="1"/>
  <c r="AA579" i="1"/>
  <c r="O573" i="1"/>
  <c r="O574" i="1" s="1"/>
  <c r="Z580" i="1"/>
  <c r="L580" i="1" s="1"/>
  <c r="B581" i="1"/>
  <c r="U580" i="1" l="1"/>
  <c r="D580" i="1" s="1"/>
  <c r="C580" i="1"/>
  <c r="U579" i="1"/>
  <c r="D579" i="1" s="1"/>
  <c r="AB581" i="1"/>
  <c r="AC581" i="1" s="1"/>
  <c r="E581" i="1"/>
  <c r="F581" i="1"/>
  <c r="G581" i="1"/>
  <c r="O580" i="1"/>
  <c r="X575" i="1"/>
  <c r="X576" i="1" s="1"/>
  <c r="AC580" i="1"/>
  <c r="Z581" i="1"/>
  <c r="L581" i="1" s="1"/>
  <c r="C581" i="1" s="1"/>
  <c r="B582" i="1"/>
  <c r="AA580" i="1"/>
  <c r="O575" i="1"/>
  <c r="O576" i="1" s="1"/>
  <c r="O579" i="1"/>
  <c r="U581" i="1" l="1"/>
  <c r="D581" i="1" s="1"/>
  <c r="X579" i="1"/>
  <c r="AB582" i="1"/>
  <c r="AC582" i="1" s="1"/>
  <c r="E582" i="1"/>
  <c r="F582" i="1"/>
  <c r="G582" i="1"/>
  <c r="AA581" i="1"/>
  <c r="X580" i="1"/>
  <c r="B583" i="1"/>
  <c r="Z582" i="1"/>
  <c r="L582" i="1" s="1"/>
  <c r="C582" i="1" s="1"/>
  <c r="U582" i="1" l="1"/>
  <c r="D582" i="1" s="1"/>
  <c r="AB583" i="1"/>
  <c r="AC583" i="1" s="1"/>
  <c r="F583" i="1"/>
  <c r="G583" i="1"/>
  <c r="E583" i="1"/>
  <c r="AA582" i="1"/>
  <c r="B584" i="1"/>
  <c r="Z583" i="1"/>
  <c r="L583" i="1" s="1"/>
  <c r="C583" i="1" s="1"/>
  <c r="O581" i="1"/>
  <c r="U583" i="1" l="1"/>
  <c r="D583" i="1" s="1"/>
  <c r="E584" i="1"/>
  <c r="F584" i="1"/>
  <c r="G584" i="1"/>
  <c r="AB584" i="1"/>
  <c r="U584" i="1" s="1"/>
  <c r="D584" i="1" s="1"/>
  <c r="AA583" i="1"/>
  <c r="Z584" i="1"/>
  <c r="L584" i="1" s="1"/>
  <c r="C584" i="1" s="1"/>
  <c r="B585" i="1"/>
  <c r="X581" i="1"/>
  <c r="O582" i="1"/>
  <c r="E585" i="1" l="1"/>
  <c r="F585" i="1"/>
  <c r="G585" i="1"/>
  <c r="AC584" i="1"/>
  <c r="AB585" i="1"/>
  <c r="U585" i="1" s="1"/>
  <c r="X582" i="1"/>
  <c r="B591" i="1"/>
  <c r="Z585" i="1"/>
  <c r="L585" i="1" s="1"/>
  <c r="A588" i="1"/>
  <c r="O583" i="1"/>
  <c r="AA584" i="1"/>
  <c r="L586" i="1" l="1"/>
  <c r="C585" i="1"/>
  <c r="U586" i="1"/>
  <c r="D585" i="1"/>
  <c r="U587" i="1" s="1"/>
  <c r="U588" i="1" s="1"/>
  <c r="E591" i="1"/>
  <c r="F591" i="1"/>
  <c r="G591" i="1"/>
  <c r="AC585" i="1"/>
  <c r="X584" i="1"/>
  <c r="AB591" i="1"/>
  <c r="AC591" i="1" s="1"/>
  <c r="A591" i="1"/>
  <c r="X583" i="1"/>
  <c r="Z591" i="1"/>
  <c r="B592" i="1"/>
  <c r="AA585" i="1"/>
  <c r="O584" i="1"/>
  <c r="L591" i="1" l="1"/>
  <c r="C591" i="1" s="1"/>
  <c r="L587" i="1"/>
  <c r="L588" i="1" s="1"/>
  <c r="AB592" i="1"/>
  <c r="AC592" i="1" s="1"/>
  <c r="E592" i="1"/>
  <c r="F592" i="1"/>
  <c r="G592" i="1"/>
  <c r="X585" i="1"/>
  <c r="X586" i="1" s="1"/>
  <c r="AA591" i="1"/>
  <c r="B593" i="1"/>
  <c r="Z592" i="1"/>
  <c r="L592" i="1" s="1"/>
  <c r="O585" i="1"/>
  <c r="O586" i="1" s="1"/>
  <c r="U592" i="1" l="1"/>
  <c r="D592" i="1" s="1"/>
  <c r="C592" i="1"/>
  <c r="U591" i="1"/>
  <c r="D591" i="1" s="1"/>
  <c r="AB593" i="1"/>
  <c r="AC593" i="1" s="1"/>
  <c r="E593" i="1"/>
  <c r="F593" i="1"/>
  <c r="G593" i="1"/>
  <c r="AA592" i="1"/>
  <c r="O591" i="1"/>
  <c r="O587" i="1"/>
  <c r="O588" i="1" s="1"/>
  <c r="Z593" i="1"/>
  <c r="L593" i="1" s="1"/>
  <c r="C593" i="1" s="1"/>
  <c r="B594" i="1"/>
  <c r="X587" i="1"/>
  <c r="X588" i="1" s="1"/>
  <c r="U593" i="1" l="1"/>
  <c r="D593" i="1" s="1"/>
  <c r="AB594" i="1"/>
  <c r="AC594" i="1" s="1"/>
  <c r="G594" i="1"/>
  <c r="F594" i="1"/>
  <c r="E594" i="1"/>
  <c r="AA593" i="1"/>
  <c r="X591" i="1"/>
  <c r="Z594" i="1"/>
  <c r="L594" i="1" s="1"/>
  <c r="C594" i="1" s="1"/>
  <c r="B595" i="1"/>
  <c r="O592" i="1"/>
  <c r="U594" i="1" l="1"/>
  <c r="D594" i="1" s="1"/>
  <c r="AB595" i="1"/>
  <c r="AC595" i="1" s="1"/>
  <c r="E595" i="1"/>
  <c r="F595" i="1"/>
  <c r="G595" i="1"/>
  <c r="AA594" i="1"/>
  <c r="Z595" i="1"/>
  <c r="L595" i="1" s="1"/>
  <c r="C595" i="1" s="1"/>
  <c r="B596" i="1"/>
  <c r="O593" i="1"/>
  <c r="X592" i="1"/>
  <c r="U595" i="1" l="1"/>
  <c r="D595" i="1" s="1"/>
  <c r="E596" i="1"/>
  <c r="F596" i="1"/>
  <c r="G596" i="1"/>
  <c r="AB596" i="1"/>
  <c r="U596" i="1" s="1"/>
  <c r="D596" i="1" s="1"/>
  <c r="AA595" i="1"/>
  <c r="X593" i="1"/>
  <c r="Z596" i="1"/>
  <c r="L596" i="1" s="1"/>
  <c r="C596" i="1" s="1"/>
  <c r="B597" i="1"/>
  <c r="O594" i="1"/>
  <c r="G597" i="1" l="1"/>
  <c r="F597" i="1"/>
  <c r="E597" i="1"/>
  <c r="AC596" i="1"/>
  <c r="AB597" i="1"/>
  <c r="U597" i="1" s="1"/>
  <c r="X594" i="1"/>
  <c r="AA596" i="1"/>
  <c r="O595" i="1"/>
  <c r="A600" i="1"/>
  <c r="Z597" i="1"/>
  <c r="L597" i="1" s="1"/>
  <c r="B603" i="1"/>
  <c r="U598" i="1" l="1"/>
  <c r="D597" i="1"/>
  <c r="L598" i="1"/>
  <c r="C597" i="1"/>
  <c r="L599" i="1" s="1"/>
  <c r="L600" i="1" s="1"/>
  <c r="E603" i="1"/>
  <c r="F603" i="1"/>
  <c r="G603" i="1"/>
  <c r="AC597" i="1"/>
  <c r="U599" i="1"/>
  <c r="U600" i="1" s="1"/>
  <c r="X596" i="1"/>
  <c r="AB603" i="1"/>
  <c r="AC603" i="1" s="1"/>
  <c r="A603" i="1"/>
  <c r="Z603" i="1"/>
  <c r="B604" i="1"/>
  <c r="X595" i="1"/>
  <c r="O596" i="1"/>
  <c r="AA597" i="1"/>
  <c r="L603" i="1" l="1"/>
  <c r="C603" i="1" s="1"/>
  <c r="AB604" i="1"/>
  <c r="AC604" i="1" s="1"/>
  <c r="E604" i="1"/>
  <c r="F604" i="1"/>
  <c r="G604" i="1"/>
  <c r="X597" i="1"/>
  <c r="X598" i="1" s="1"/>
  <c r="O597" i="1"/>
  <c r="O598" i="1" s="1"/>
  <c r="B605" i="1"/>
  <c r="Z604" i="1"/>
  <c r="L604" i="1" s="1"/>
  <c r="AA603" i="1"/>
  <c r="U604" i="1" l="1"/>
  <c r="D604" i="1" s="1"/>
  <c r="C604" i="1"/>
  <c r="U603" i="1"/>
  <c r="D603" i="1" s="1"/>
  <c r="AB605" i="1"/>
  <c r="AC605" i="1" s="1"/>
  <c r="E605" i="1"/>
  <c r="F605" i="1"/>
  <c r="G605" i="1"/>
  <c r="X599" i="1"/>
  <c r="X600" i="1" s="1"/>
  <c r="O603" i="1"/>
  <c r="AA604" i="1"/>
  <c r="B606" i="1"/>
  <c r="Z605" i="1"/>
  <c r="L605" i="1" s="1"/>
  <c r="C605" i="1" s="1"/>
  <c r="O599" i="1"/>
  <c r="O600" i="1" s="1"/>
  <c r="U605" i="1" l="1"/>
  <c r="D605" i="1" s="1"/>
  <c r="AB606" i="1"/>
  <c r="AC606" i="1" s="1"/>
  <c r="G606" i="1"/>
  <c r="E606" i="1"/>
  <c r="F606" i="1"/>
  <c r="O604" i="1"/>
  <c r="Z606" i="1"/>
  <c r="L606" i="1" s="1"/>
  <c r="C606" i="1" s="1"/>
  <c r="B607" i="1"/>
  <c r="AA605" i="1"/>
  <c r="X603" i="1"/>
  <c r="U606" i="1" l="1"/>
  <c r="D606" i="1" s="1"/>
  <c r="AB607" i="1"/>
  <c r="AC607" i="1" s="1"/>
  <c r="E607" i="1"/>
  <c r="F607" i="1"/>
  <c r="G607" i="1"/>
  <c r="O605" i="1"/>
  <c r="Z607" i="1"/>
  <c r="L607" i="1" s="1"/>
  <c r="C607" i="1" s="1"/>
  <c r="B608" i="1"/>
  <c r="AA606" i="1"/>
  <c r="X604" i="1"/>
  <c r="U607" i="1" l="1"/>
  <c r="D607" i="1" s="1"/>
  <c r="E608" i="1"/>
  <c r="F608" i="1"/>
  <c r="G608" i="1"/>
  <c r="AB608" i="1"/>
  <c r="U608" i="1" s="1"/>
  <c r="D608" i="1" s="1"/>
  <c r="AA607" i="1"/>
  <c r="Z608" i="1"/>
  <c r="L608" i="1" s="1"/>
  <c r="C608" i="1" s="1"/>
  <c r="B609" i="1"/>
  <c r="O606" i="1"/>
  <c r="X605" i="1"/>
  <c r="G609" i="1" l="1"/>
  <c r="E609" i="1"/>
  <c r="F609" i="1"/>
  <c r="AC608" i="1"/>
  <c r="AB609" i="1"/>
  <c r="U609" i="1" s="1"/>
  <c r="X606" i="1"/>
  <c r="O607" i="1"/>
  <c r="Z609" i="1"/>
  <c r="L609" i="1" s="1"/>
  <c r="B615" i="1"/>
  <c r="A612" i="1"/>
  <c r="AA608" i="1"/>
  <c r="L610" i="1" l="1"/>
  <c r="C609" i="1"/>
  <c r="L611" i="1" s="1"/>
  <c r="U610" i="1"/>
  <c r="D609" i="1"/>
  <c r="U611" i="1" s="1"/>
  <c r="U612" i="1" s="1"/>
  <c r="G615" i="1"/>
  <c r="E615" i="1"/>
  <c r="F615" i="1"/>
  <c r="AC609" i="1"/>
  <c r="X608" i="1"/>
  <c r="AB615" i="1"/>
  <c r="AC615" i="1" s="1"/>
  <c r="A615" i="1"/>
  <c r="B616" i="1"/>
  <c r="Z615" i="1"/>
  <c r="AA609" i="1"/>
  <c r="X607" i="1"/>
  <c r="O608" i="1"/>
  <c r="L612" i="1" l="1"/>
  <c r="L615" i="1"/>
  <c r="C615" i="1" s="1"/>
  <c r="AB616" i="1"/>
  <c r="AC616" i="1" s="1"/>
  <c r="E616" i="1"/>
  <c r="F616" i="1"/>
  <c r="G616" i="1"/>
  <c r="X609" i="1"/>
  <c r="X610" i="1" s="1"/>
  <c r="AA615" i="1"/>
  <c r="O609" i="1"/>
  <c r="O610" i="1" s="1"/>
  <c r="Z616" i="1"/>
  <c r="L616" i="1" s="1"/>
  <c r="B617" i="1"/>
  <c r="U616" i="1" l="1"/>
  <c r="D616" i="1" s="1"/>
  <c r="C616" i="1"/>
  <c r="U615" i="1"/>
  <c r="D615" i="1" s="1"/>
  <c r="AB617" i="1"/>
  <c r="AC617" i="1" s="1"/>
  <c r="E617" i="1"/>
  <c r="F617" i="1"/>
  <c r="G617" i="1"/>
  <c r="X611" i="1"/>
  <c r="X612" i="1" s="1"/>
  <c r="AA616" i="1"/>
  <c r="B618" i="1"/>
  <c r="Z617" i="1"/>
  <c r="L617" i="1" s="1"/>
  <c r="C617" i="1" s="1"/>
  <c r="O611" i="1"/>
  <c r="O612" i="1" s="1"/>
  <c r="O615" i="1"/>
  <c r="U617" i="1" l="1"/>
  <c r="D617" i="1" s="1"/>
  <c r="AB618" i="1"/>
  <c r="AC618" i="1" s="1"/>
  <c r="E618" i="1"/>
  <c r="F618" i="1"/>
  <c r="G618" i="1"/>
  <c r="X615" i="1"/>
  <c r="O616" i="1"/>
  <c r="AA617" i="1"/>
  <c r="B619" i="1"/>
  <c r="Z618" i="1"/>
  <c r="L618" i="1" s="1"/>
  <c r="C618" i="1" s="1"/>
  <c r="U618" i="1" l="1"/>
  <c r="D618" i="1" s="1"/>
  <c r="AB619" i="1"/>
  <c r="AC619" i="1" s="1"/>
  <c r="E619" i="1"/>
  <c r="F619" i="1"/>
  <c r="G619" i="1"/>
  <c r="AA618" i="1"/>
  <c r="O617" i="1"/>
  <c r="X616" i="1"/>
  <c r="Z619" i="1"/>
  <c r="L619" i="1" s="1"/>
  <c r="C619" i="1" s="1"/>
  <c r="B620" i="1"/>
  <c r="U619" i="1" l="1"/>
  <c r="D619" i="1" s="1"/>
  <c r="G620" i="1"/>
  <c r="F620" i="1"/>
  <c r="E620" i="1"/>
  <c r="AB620" i="1"/>
  <c r="U620" i="1" s="1"/>
  <c r="D620" i="1" s="1"/>
  <c r="O618" i="1"/>
  <c r="AA619" i="1"/>
  <c r="Z620" i="1"/>
  <c r="L620" i="1" s="1"/>
  <c r="C620" i="1" s="1"/>
  <c r="B621" i="1"/>
  <c r="X617" i="1"/>
  <c r="E621" i="1" l="1"/>
  <c r="F621" i="1"/>
  <c r="G621" i="1"/>
  <c r="AC620" i="1"/>
  <c r="AB621" i="1"/>
  <c r="U621" i="1" s="1"/>
  <c r="A624" i="1"/>
  <c r="Z621" i="1"/>
  <c r="L621" i="1" s="1"/>
  <c r="B627" i="1"/>
  <c r="O619" i="1"/>
  <c r="AA620" i="1"/>
  <c r="X618" i="1"/>
  <c r="L622" i="1" l="1"/>
  <c r="C621" i="1"/>
  <c r="L623" i="1" s="1"/>
  <c r="L624" i="1" s="1"/>
  <c r="U622" i="1"/>
  <c r="D621" i="1"/>
  <c r="E627" i="1"/>
  <c r="F627" i="1"/>
  <c r="G627" i="1"/>
  <c r="AC621" i="1"/>
  <c r="U623" i="1"/>
  <c r="U624" i="1" s="1"/>
  <c r="X620" i="1"/>
  <c r="AB627" i="1"/>
  <c r="AC627" i="1" s="1"/>
  <c r="A627" i="1"/>
  <c r="AA621" i="1"/>
  <c r="X619" i="1"/>
  <c r="O620" i="1"/>
  <c r="Z627" i="1"/>
  <c r="B628" i="1"/>
  <c r="L627" i="1" l="1"/>
  <c r="AB628" i="1"/>
  <c r="AC628" i="1" s="1"/>
  <c r="F628" i="1"/>
  <c r="G628" i="1"/>
  <c r="E628" i="1"/>
  <c r="X621" i="1"/>
  <c r="X622" i="1" s="1"/>
  <c r="AA627" i="1"/>
  <c r="Z628" i="1"/>
  <c r="L628" i="1" s="1"/>
  <c r="C628" i="1" s="1"/>
  <c r="B629" i="1"/>
  <c r="O621" i="1"/>
  <c r="O622" i="1" s="1"/>
  <c r="U627" i="1" l="1"/>
  <c r="D627" i="1" s="1"/>
  <c r="C627" i="1"/>
  <c r="U628" i="1"/>
  <c r="D628" i="1" s="1"/>
  <c r="AB629" i="1"/>
  <c r="AC629" i="1" s="1"/>
  <c r="E629" i="1"/>
  <c r="F629" i="1"/>
  <c r="G629" i="1"/>
  <c r="X623" i="1"/>
  <c r="X624" i="1" s="1"/>
  <c r="AA628" i="1"/>
  <c r="O623" i="1"/>
  <c r="O624" i="1" s="1"/>
  <c r="Z629" i="1"/>
  <c r="L629" i="1" s="1"/>
  <c r="C629" i="1" s="1"/>
  <c r="B630" i="1"/>
  <c r="O627" i="1"/>
  <c r="U629" i="1" l="1"/>
  <c r="D629" i="1" s="1"/>
  <c r="AB630" i="1"/>
  <c r="AC630" i="1" s="1"/>
  <c r="E630" i="1"/>
  <c r="F630" i="1"/>
  <c r="G630" i="1"/>
  <c r="AA629" i="1"/>
  <c r="O628" i="1"/>
  <c r="X627" i="1"/>
  <c r="B631" i="1"/>
  <c r="Z630" i="1"/>
  <c r="L630" i="1" s="1"/>
  <c r="C630" i="1" s="1"/>
  <c r="U630" i="1" l="1"/>
  <c r="D630" i="1" s="1"/>
  <c r="AB631" i="1"/>
  <c r="AC631" i="1" s="1"/>
  <c r="F631" i="1"/>
  <c r="E631" i="1"/>
  <c r="G631" i="1"/>
  <c r="Z631" i="1"/>
  <c r="L631" i="1" s="1"/>
  <c r="C631" i="1" s="1"/>
  <c r="B632" i="1"/>
  <c r="X628" i="1"/>
  <c r="AA630" i="1"/>
  <c r="O629" i="1"/>
  <c r="U631" i="1" l="1"/>
  <c r="D631" i="1" s="1"/>
  <c r="E632" i="1"/>
  <c r="G632" i="1"/>
  <c r="F632" i="1"/>
  <c r="AB632" i="1"/>
  <c r="U632" i="1" s="1"/>
  <c r="D632" i="1" s="1"/>
  <c r="AA631" i="1"/>
  <c r="X629" i="1"/>
  <c r="Z632" i="1"/>
  <c r="L632" i="1" s="1"/>
  <c r="C632" i="1" s="1"/>
  <c r="B633" i="1"/>
  <c r="O630" i="1"/>
  <c r="E633" i="1" l="1"/>
  <c r="F633" i="1"/>
  <c r="G633" i="1"/>
  <c r="AC632" i="1"/>
  <c r="AB633" i="1"/>
  <c r="U633" i="1" s="1"/>
  <c r="AA632" i="1"/>
  <c r="A636" i="1"/>
  <c r="B639" i="1"/>
  <c r="Z633" i="1"/>
  <c r="L633" i="1" s="1"/>
  <c r="O631" i="1"/>
  <c r="X630" i="1"/>
  <c r="L634" i="1" l="1"/>
  <c r="C633" i="1"/>
  <c r="U634" i="1"/>
  <c r="D633" i="1"/>
  <c r="L635" i="1"/>
  <c r="L636" i="1" s="1"/>
  <c r="G639" i="1"/>
  <c r="F639" i="1"/>
  <c r="E639" i="1"/>
  <c r="AC633" i="1"/>
  <c r="U635" i="1"/>
  <c r="U636" i="1" s="1"/>
  <c r="X632" i="1"/>
  <c r="AB639" i="1"/>
  <c r="AC639" i="1" s="1"/>
  <c r="A639" i="1"/>
  <c r="O632" i="1"/>
  <c r="AA633" i="1"/>
  <c r="Z639" i="1"/>
  <c r="B640" i="1"/>
  <c r="X631" i="1"/>
  <c r="L639" i="1" l="1"/>
  <c r="C639" i="1" s="1"/>
  <c r="AB640" i="1"/>
  <c r="AC640" i="1" s="1"/>
  <c r="F640" i="1"/>
  <c r="E640" i="1"/>
  <c r="G640" i="1"/>
  <c r="X633" i="1"/>
  <c r="X634" i="1" s="1"/>
  <c r="AA639" i="1"/>
  <c r="O633" i="1"/>
  <c r="O634" i="1" s="1"/>
  <c r="Z640" i="1"/>
  <c r="L640" i="1" s="1"/>
  <c r="B641" i="1"/>
  <c r="U640" i="1" l="1"/>
  <c r="D640" i="1" s="1"/>
  <c r="C640" i="1"/>
  <c r="U639" i="1"/>
  <c r="D639" i="1" s="1"/>
  <c r="AB641" i="1"/>
  <c r="AC641" i="1" s="1"/>
  <c r="E641" i="1"/>
  <c r="F641" i="1"/>
  <c r="G641" i="1"/>
  <c r="X635" i="1"/>
  <c r="X636" i="1" s="1"/>
  <c r="AA640" i="1"/>
  <c r="O639" i="1"/>
  <c r="O635" i="1"/>
  <c r="O636" i="1" s="1"/>
  <c r="B642" i="1"/>
  <c r="Z641" i="1"/>
  <c r="L641" i="1" s="1"/>
  <c r="U641" i="1" l="1"/>
  <c r="D641" i="1" s="1"/>
  <c r="C641" i="1"/>
  <c r="AB642" i="1"/>
  <c r="AC642" i="1" s="1"/>
  <c r="E642" i="1"/>
  <c r="F642" i="1"/>
  <c r="G642" i="1"/>
  <c r="Z642" i="1"/>
  <c r="L642" i="1" s="1"/>
  <c r="C642" i="1" s="1"/>
  <c r="B643" i="1"/>
  <c r="O640" i="1"/>
  <c r="X639" i="1"/>
  <c r="AA641" i="1"/>
  <c r="U642" i="1" l="1"/>
  <c r="D642" i="1" s="1"/>
  <c r="AB643" i="1"/>
  <c r="AC643" i="1" s="1"/>
  <c r="G643" i="1"/>
  <c r="F643" i="1"/>
  <c r="E643" i="1"/>
  <c r="AA642" i="1"/>
  <c r="O641" i="1"/>
  <c r="B644" i="1"/>
  <c r="Z643" i="1"/>
  <c r="L643" i="1" s="1"/>
  <c r="C643" i="1" s="1"/>
  <c r="X640" i="1"/>
  <c r="U643" i="1" l="1"/>
  <c r="D643" i="1" s="1"/>
  <c r="E644" i="1"/>
  <c r="F644" i="1"/>
  <c r="G644" i="1"/>
  <c r="AB644" i="1"/>
  <c r="U644" i="1" s="1"/>
  <c r="D644" i="1" s="1"/>
  <c r="AA643" i="1"/>
  <c r="Z644" i="1"/>
  <c r="L644" i="1" s="1"/>
  <c r="C644" i="1" s="1"/>
  <c r="B645" i="1"/>
  <c r="O642" i="1"/>
  <c r="X641" i="1"/>
  <c r="F645" i="1" l="1"/>
  <c r="E645" i="1"/>
  <c r="G645" i="1"/>
  <c r="AC644" i="1"/>
  <c r="AB645" i="1"/>
  <c r="U645" i="1" s="1"/>
  <c r="O643" i="1"/>
  <c r="AA644" i="1"/>
  <c r="Z645" i="1"/>
  <c r="L645" i="1" s="1"/>
  <c r="A648" i="1"/>
  <c r="L7" i="1"/>
  <c r="X642" i="1"/>
  <c r="U646" i="1" l="1"/>
  <c r="D645" i="1"/>
  <c r="L646" i="1"/>
  <c r="C645" i="1"/>
  <c r="L647" i="1"/>
  <c r="L648" i="1" s="1"/>
  <c r="U647" i="1"/>
  <c r="U648" i="1" s="1"/>
  <c r="AC645" i="1"/>
  <c r="X644" i="1"/>
  <c r="E42" i="13"/>
  <c r="X643" i="1"/>
  <c r="G23" i="13"/>
  <c r="F37" i="13"/>
  <c r="B33" i="13"/>
  <c r="E14" i="13"/>
  <c r="E20" i="13"/>
  <c r="F15" i="13"/>
  <c r="G15" i="13"/>
  <c r="E15" i="13"/>
  <c r="B37" i="13"/>
  <c r="G14" i="13"/>
  <c r="F23" i="13"/>
  <c r="B38" i="13"/>
  <c r="F35" i="13"/>
  <c r="G35" i="13"/>
  <c r="F22" i="13"/>
  <c r="G38" i="13"/>
  <c r="F39" i="13"/>
  <c r="F41" i="13"/>
  <c r="E37" i="13"/>
  <c r="E23" i="13"/>
  <c r="E36" i="13"/>
  <c r="F38" i="13"/>
  <c r="F19" i="13"/>
  <c r="B23" i="13"/>
  <c r="F34" i="13"/>
  <c r="E22" i="13"/>
  <c r="F42" i="13"/>
  <c r="B22" i="13"/>
  <c r="E38" i="13"/>
  <c r="F16" i="13"/>
  <c r="F33" i="13"/>
  <c r="B20" i="13"/>
  <c r="F21" i="13"/>
  <c r="G19" i="13"/>
  <c r="G37" i="13"/>
  <c r="F36" i="13"/>
  <c r="G21" i="13"/>
  <c r="B32" i="13"/>
  <c r="B15" i="13"/>
  <c r="B14" i="13"/>
  <c r="F13" i="13"/>
  <c r="B18" i="13"/>
  <c r="F20" i="13"/>
  <c r="G16" i="13"/>
  <c r="F18" i="13"/>
  <c r="E17" i="13"/>
  <c r="B16" i="13"/>
  <c r="E21" i="13"/>
  <c r="G40" i="13"/>
  <c r="F17" i="13"/>
  <c r="B36" i="13"/>
  <c r="G33" i="13"/>
  <c r="G34" i="13"/>
  <c r="E19" i="13"/>
  <c r="E40" i="13"/>
  <c r="G39" i="13"/>
  <c r="B41" i="13"/>
  <c r="G20" i="13"/>
  <c r="G41" i="13"/>
  <c r="G22" i="13"/>
  <c r="F40" i="13"/>
  <c r="B17" i="13"/>
  <c r="L12" i="1"/>
  <c r="B21" i="13"/>
  <c r="B24" i="13"/>
  <c r="B42" i="13"/>
  <c r="G18" i="13"/>
  <c r="F24" i="13"/>
  <c r="E16" i="13"/>
  <c r="E18" i="13"/>
  <c r="G17" i="13"/>
  <c r="B39" i="13"/>
  <c r="E34" i="13"/>
  <c r="G24" i="13"/>
  <c r="G32" i="13"/>
  <c r="E33" i="13"/>
  <c r="E24" i="13"/>
  <c r="B40" i="13"/>
  <c r="F14" i="13"/>
  <c r="G42" i="13"/>
  <c r="B35" i="13"/>
  <c r="E32" i="13"/>
  <c r="G36" i="13"/>
  <c r="B34" i="13"/>
  <c r="E35" i="13"/>
  <c r="E39" i="13"/>
  <c r="U7" i="1"/>
  <c r="E31" i="13"/>
  <c r="B19" i="13"/>
  <c r="E41" i="13"/>
  <c r="O644" i="1"/>
  <c r="AA645" i="1"/>
  <c r="X645" i="1" l="1"/>
  <c r="X646" i="1" s="1"/>
  <c r="E43" i="13"/>
  <c r="X4" i="1" s="1"/>
  <c r="F25" i="13"/>
  <c r="O645" i="1"/>
  <c r="O646" i="1" s="1"/>
  <c r="O647" i="1"/>
  <c r="U11" i="1"/>
  <c r="X8" i="1" s="1"/>
  <c r="F31" i="13"/>
  <c r="U12" i="1"/>
  <c r="B31" i="13"/>
  <c r="B43" i="13" s="1"/>
  <c r="F32" i="13"/>
  <c r="X7" i="1"/>
  <c r="G31" i="13"/>
  <c r="G43" i="13" s="1"/>
  <c r="X3" i="1" s="1"/>
  <c r="L10" i="1" l="1"/>
  <c r="L6" i="1"/>
  <c r="L9" i="1"/>
  <c r="L5" i="1"/>
  <c r="X647" i="1"/>
  <c r="X648" i="1" s="1"/>
  <c r="U3" i="1"/>
  <c r="X9" i="1"/>
  <c r="O648" i="1"/>
  <c r="F43" i="13"/>
  <c r="X5" i="1"/>
  <c r="U5" i="1" l="1"/>
  <c r="U4" i="1"/>
  <c r="U10" i="1"/>
  <c r="U6" i="1"/>
  <c r="U9" i="1"/>
  <c r="C38" i="13"/>
  <c r="D40" i="13"/>
  <c r="D38" i="13"/>
  <c r="D32" i="13"/>
  <c r="D33" i="13"/>
  <c r="D41" i="13"/>
  <c r="C33" i="13"/>
  <c r="C40" i="13"/>
  <c r="D37" i="13"/>
  <c r="C31" i="13"/>
  <c r="C39" i="13"/>
  <c r="D42" i="13"/>
  <c r="D39" i="13"/>
  <c r="U8" i="1"/>
  <c r="C37" i="13"/>
  <c r="C41" i="13"/>
  <c r="D34" i="13"/>
  <c r="D35" i="13"/>
  <c r="C36" i="13"/>
  <c r="D36" i="13"/>
  <c r="C34" i="13"/>
  <c r="C42" i="13"/>
  <c r="C32" i="13"/>
  <c r="C35" i="13"/>
  <c r="D31" i="13"/>
  <c r="O7" i="1"/>
  <c r="G13" i="13"/>
  <c r="G25" i="13" s="1"/>
  <c r="O3" i="1" s="1"/>
  <c r="B13" i="13"/>
  <c r="B25" i="13" s="1"/>
  <c r="L3" i="1" s="1"/>
  <c r="D18" i="13"/>
  <c r="C18" i="13"/>
  <c r="C14" i="13"/>
  <c r="D24" i="13"/>
  <c r="C13" i="13"/>
  <c r="C23" i="13"/>
  <c r="D22" i="13"/>
  <c r="D14" i="13"/>
  <c r="L8" i="1"/>
  <c r="D19" i="13"/>
  <c r="C22" i="13"/>
  <c r="C19" i="13"/>
  <c r="D13" i="13"/>
  <c r="C21" i="13"/>
  <c r="L4" i="1"/>
  <c r="D23" i="13"/>
  <c r="D20" i="13"/>
  <c r="D16" i="13"/>
  <c r="C20" i="13"/>
  <c r="C17" i="13"/>
  <c r="C15" i="13"/>
  <c r="D17" i="13"/>
  <c r="C24" i="13"/>
  <c r="C16" i="13"/>
  <c r="D21" i="13"/>
  <c r="D15" i="13"/>
  <c r="D43" i="13" l="1"/>
  <c r="C43" i="13"/>
  <c r="L11" i="1"/>
  <c r="O8" i="1" s="1"/>
  <c r="O9" i="1" s="1"/>
  <c r="E13" i="13"/>
  <c r="E25" i="13" s="1"/>
  <c r="O4" i="1" s="1"/>
  <c r="O5" i="1" s="1"/>
  <c r="D25" i="13"/>
  <c r="C25" i="13"/>
</calcChain>
</file>

<file path=xl/sharedStrings.xml><?xml version="1.0" encoding="utf-8"?>
<sst xmlns="http://schemas.openxmlformats.org/spreadsheetml/2006/main" count="1230" uniqueCount="138">
  <si>
    <t>Gjelder for</t>
  </si>
  <si>
    <t>Fyll kun inn i gule felt (ikke flytt på celler)</t>
  </si>
  <si>
    <t>Navn arbeidstaker</t>
  </si>
  <si>
    <t>Ferie i uke:</t>
  </si>
  <si>
    <t>Navn Arbeidsgiver 1</t>
  </si>
  <si>
    <t>Navn Arbeidsgiver 2</t>
  </si>
  <si>
    <t>Stillings %</t>
  </si>
  <si>
    <t>Måned</t>
  </si>
  <si>
    <t>Feriedager</t>
  </si>
  <si>
    <t>Sykedager</t>
  </si>
  <si>
    <t>Sum avtalte arbeidstimer</t>
  </si>
  <si>
    <t>Sum timer</t>
  </si>
  <si>
    <t>Sum planlagte timer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</si>
  <si>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</si>
  <si>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</si>
  <si>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</si>
  <si>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</si>
  <si>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</si>
  <si>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</si>
  <si>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</si>
  <si>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</si>
  <si>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</si>
  <si>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</si>
  <si>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</si>
  <si>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</si>
  <si>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Sum</t>
  </si>
  <si>
    <t>Forklaring til skjema</t>
  </si>
  <si>
    <t>Dette skjemaet kan brukes til loggføring og planlegging av arbeidstid for opp til to arbeidsgivere</t>
  </si>
  <si>
    <t>Skriv først inn informasjon i de lysegulefeltene på denne siden</t>
  </si>
  <si>
    <t>Skriv inn ukenummer du skal ha hele ferieuker i løpet av året (gult felt i toppen (G3)) (i stigende rekkefølge)</t>
  </si>
  <si>
    <t>Oversikt:</t>
  </si>
  <si>
    <t>Sum avtalt arbeidstimer, er det som du skal jobbe utifra stillingsprosent.</t>
  </si>
  <si>
    <t>Planlagte timer er det som er skrevet inn i i planlagt feltet i arkene, dersom det ikke er noe som er planlagt kopieres faktisk førte timer inn (dersom du har planlagt timer vil tallet ikke justeres mot faktiske timer)</t>
  </si>
  <si>
    <t>Utfylling:</t>
  </si>
  <si>
    <t>Arbeidsoppgaver - skriv inn hva du har gjort denne dagen.</t>
  </si>
  <si>
    <t>Timer - skriv inn antall timer (her kan du benytte desimal)</t>
  </si>
  <si>
    <t>Ved sykdom skriv "Syk" i timefeltet (husk å sende inn egenmelding/sykemelding</t>
  </si>
  <si>
    <t>Ved feriedager skriv inn "Ferie" (Husk at hele ferieuker skrives inn i dette arket (gult felt))</t>
  </si>
  <si>
    <t>På offentlige fridager finner du en tekst som sier "fri". Regnearket fjerner denne dagen fra utregningen av total arbeidstid (basert utifra stillingsprosent)</t>
  </si>
  <si>
    <t xml:space="preserve">Gjør det til en vane å fylle ut timelistene fortløpende. </t>
  </si>
  <si>
    <t>Hjelpelinjer skjemaet (skal ikke endres)</t>
  </si>
  <si>
    <t>Denne måneden</t>
  </si>
  <si>
    <t>Merkedager/bursdager</t>
  </si>
  <si>
    <t>Dato</t>
  </si>
  <si>
    <t>Tekst</t>
  </si>
  <si>
    <t>Fridager</t>
  </si>
  <si>
    <t>tekst</t>
  </si>
  <si>
    <t>1. nyttårsdag</t>
  </si>
  <si>
    <t>Palmesøndag</t>
  </si>
  <si>
    <t>Skjærtorsdag</t>
  </si>
  <si>
    <t>Langfredag</t>
  </si>
  <si>
    <t>1. påskedag</t>
  </si>
  <si>
    <t>2. påskedag</t>
  </si>
  <si>
    <t>Grunnlovsdag</t>
  </si>
  <si>
    <t>Kristi Himmelfartsdag</t>
  </si>
  <si>
    <t>1. pinsedag</t>
  </si>
  <si>
    <t>2. pinsedag</t>
  </si>
  <si>
    <t>1. juledag</t>
  </si>
  <si>
    <t>2. juledag</t>
  </si>
  <si>
    <t>Avtalt Arbeidstid per uke</t>
  </si>
  <si>
    <t>Gjennomsnitt</t>
  </si>
  <si>
    <t>Overstyring</t>
  </si>
  <si>
    <t>Mandag</t>
  </si>
  <si>
    <t>Tirsdag</t>
  </si>
  <si>
    <t>Onsdag</t>
  </si>
  <si>
    <t>Torsdag</t>
  </si>
  <si>
    <t>Fredag</t>
  </si>
  <si>
    <t>Lørdag</t>
  </si>
  <si>
    <t>Søndag</t>
  </si>
  <si>
    <t>Arbeidstid</t>
  </si>
  <si>
    <t xml:space="preserve">Arbeidstid </t>
  </si>
  <si>
    <t>Julaften</t>
  </si>
  <si>
    <t>Nyttårsaften</t>
  </si>
  <si>
    <t>Avtalt arbeidstid pr uke</t>
  </si>
  <si>
    <t>Totalt i år</t>
  </si>
  <si>
    <t>Sum timer planlagt i år</t>
  </si>
  <si>
    <t>Sum timer avtalt i år</t>
  </si>
  <si>
    <t>Sum timer ikke enda avsatt</t>
  </si>
  <si>
    <t>For (velg under):</t>
  </si>
  <si>
    <t>Sum timer planlagt denne måned</t>
  </si>
  <si>
    <t>Sum timer avtalt denne måned</t>
  </si>
  <si>
    <t>Sum avtalt arbeidstid</t>
  </si>
  <si>
    <t>Uke</t>
  </si>
  <si>
    <t>Dag</t>
  </si>
  <si>
    <t>Tidligere dag</t>
  </si>
  <si>
    <t>Hellig og merkedager</t>
  </si>
  <si>
    <t>Arbeidsoppgaver</t>
  </si>
  <si>
    <t>Timer</t>
  </si>
  <si>
    <t>Planlagte oppgaver</t>
  </si>
  <si>
    <t>Planlagt Timer</t>
  </si>
  <si>
    <t>Avtalt arbeidstid</t>
  </si>
  <si>
    <t>User</t>
  </si>
  <si>
    <t>Project</t>
  </si>
  <si>
    <t>Task</t>
  </si>
  <si>
    <t>Client</t>
  </si>
  <si>
    <t>Notes</t>
  </si>
  <si>
    <t>Date</t>
  </si>
  <si>
    <t>Duration</t>
  </si>
  <si>
    <t>Hours</t>
  </si>
  <si>
    <t>From</t>
  </si>
  <si>
    <t>Arbeiderenes dag</t>
  </si>
  <si>
    <t>Onsdag før skjærtorsdag</t>
  </si>
  <si>
    <t>Andre dager med annen avtalt arbeidstid (jf lønnsavtalen 7.1.6)</t>
  </si>
  <si>
    <t>TrackingTime</t>
  </si>
  <si>
    <t xml:space="preserve">TrakingTime er en app/nettside for å registrere time. Nettside: trackingtime.co er gratis opp til 3 prosjekter (en kan legge oppgaver som en registrerer tiden på). </t>
  </si>
  <si>
    <t xml:space="preserve">En kan hente ut CSV rapport og kopiere fortløpende inn i "TrakingTime" fanen. </t>
  </si>
  <si>
    <t>Merk at Oppgave (Task) må ha likt navn som arbeidsgiver for at informasjonen skal hentes inn i timeoversikten.</t>
  </si>
  <si>
    <t xml:space="preserve">Blir timefeltet rødt, er det fordi du har oppgitt over 10 timer. 10 timer er det meste du kan registrere på en dag jf lønnsavtalen. </t>
  </si>
  <si>
    <t>OBS: avtalt arbeidstid skal settes utifra 100% stilling (og regnes i regnearket utifra stillingsprosent), dette overstyrer avtalt arbeidsdag.</t>
  </si>
  <si>
    <t>Ved omsorgsdag (hjemme med sykt barn) skriv "Omsorg"</t>
  </si>
  <si>
    <t>Ved avspassering så skal det ikke skrives noe i timefeltet (kan kommenteres i oppgavefeltet)</t>
  </si>
  <si>
    <t>Ved velferdspermisjon for hele dagen skriv "Fri", kortere velferdspermisjon skrives det bare timer for.</t>
  </si>
  <si>
    <t>Omsorgsdager</t>
  </si>
  <si>
    <t>Total plusstid til dags dato</t>
  </si>
  <si>
    <t>Sum timer ikke enda avsatt (minus er plusstid)</t>
  </si>
  <si>
    <t>Plusstid til dags dato</t>
  </si>
  <si>
    <t>Plusstid denne måned til dags dato</t>
  </si>
  <si>
    <t>Plusstid</t>
  </si>
  <si>
    <t>Plusstid fra i fjor*</t>
  </si>
  <si>
    <t>Plusstid i fjor*</t>
  </si>
  <si>
    <t>Plusstid er justert opp mot dagens dato og er det som er de faktiske timene (negative tall betyr at det er jobbet midre enn det du skal)</t>
  </si>
  <si>
    <t>*Plusstid skal tas ut i innværende år overføring av plusstid og ferie krevet skriftilig søknad og godkjenning</t>
  </si>
  <si>
    <t>Avspasering bør tas ut så snart som mulig, men etter avtale med leder. En er ansvarlig for å holde leder løpende oppdatert om evt plusstidstimer.</t>
  </si>
  <si>
    <t>Du kan ikke ta med avspasering (plusstid) inn i et nytt år eller spare opp timer for å ta ut lengre ferie, uten skriftlig avtale med leder.</t>
  </si>
  <si>
    <t>Visning, arket 'Timer' har skult en del kolonner for å gjøre det mer oversiktlig, trykk på plusstegnet (ved rad eller kolonnen)</t>
  </si>
  <si>
    <t>Start</t>
  </si>
  <si>
    <t>Slutt</t>
  </si>
  <si>
    <t>Lunsj (ikke betalt)</t>
  </si>
  <si>
    <t>Ja</t>
  </si>
  <si>
    <t>Nei</t>
  </si>
  <si>
    <t>Betalt lunsj**</t>
  </si>
  <si>
    <t>**Ved bruk av start og slutt tid kan lunsjen (30 min) trekkes automatisk fra timene, lunsj er ikke betalt i frikirken uten at dette er særlig avtalt.</t>
  </si>
  <si>
    <t>Ved bruk av start og slutt tid vil lunsj feltet dukke opp med en X dersom en ikke har betalt lunsj (velges over), og arbeidsdagen er over 5,5 timer. X kan fjernes elelr legges til dersom dette er aktuelt for deg (en har ikke krav på lunsj på arbeidsager under 5 timer)</t>
  </si>
  <si>
    <t>Start og slutt tid (når du kommer og går) kan skrives inn (kolonne I-k + R-T) istedenfor å regne på timene (Obs en er egentlig pliktig til å ha oversikt på både hvor mange timer og når timene er)</t>
  </si>
  <si>
    <t>En kan velge mellom å skrive timene direkte inn i timefeltet, bruke start og slutt tid eller TimeTracker, brukes både start og slutttid sammen med TimeTracker velges det høyeste tallet.</t>
  </si>
  <si>
    <t>Ansatt (teller fra):</t>
  </si>
  <si>
    <t>Hovedkontoret</t>
  </si>
  <si>
    <t>Grunnlovsdag/2. pinsedag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</si>
</sst>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/\ mmm\ yy"/>
    <numFmt numFmtId="165" formatCode="[$-F800]dddd\,\ mmmm\ dd\,\ yyyy"/>
    <numFmt numFmtId="166" formatCode="0.0"/>
    <numFmt numFmtId="167" formatCode="dddd_;dd/mmm/yy"/>
    <numFmt numFmtId="168" formatCode="###.??;[Red]\-###.??"/>
    <numFmt numFmtId="169" formatCode="##0.??;[Red]\-##0.??"/>
    <numFmt numFmtId="170" formatCode="#,##0.##"/>
    <numFmt numFmtId="171" formatCode="hh:mm;@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Verdana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9"/>
      <color rgb="FF000000"/>
      <name val="Roboto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17" applyNumberFormat="0" applyAlignment="0" applyProtection="0"/>
    <xf numFmtId="0" fontId="24" fillId="8" borderId="18" applyNumberFormat="0" applyAlignment="0" applyProtection="0"/>
    <xf numFmtId="0" fontId="25" fillId="8" borderId="17" applyNumberFormat="0" applyAlignment="0" applyProtection="0"/>
    <xf numFmtId="0" fontId="26" fillId="0" borderId="19" applyNumberFormat="0" applyFill="0" applyAlignment="0" applyProtection="0"/>
    <xf numFmtId="0" fontId="27" fillId="9" borderId="2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2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21" applyNumberFormat="0" applyFont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2" xfId="0" quotePrefix="1" applyFont="1" applyBorder="1" applyAlignment="1">
      <alignment horizontal="left"/>
    </xf>
    <xf numFmtId="0" fontId="3" fillId="0" borderId="5" xfId="0" quotePrefix="1" applyFont="1" applyBorder="1" applyAlignment="1">
      <alignment horizontal="left"/>
    </xf>
    <xf numFmtId="0" fontId="3" fillId="0" borderId="7" xfId="0" quotePrefix="1" applyFont="1" applyBorder="1" applyAlignment="1">
      <alignment horizontal="left"/>
    </xf>
    <xf numFmtId="0" fontId="3" fillId="0" borderId="0" xfId="0" quotePrefix="1" applyFont="1" applyAlignment="1">
      <alignment horizontal="left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10" xfId="0" applyFont="1" applyBorder="1"/>
    <xf numFmtId="0" fontId="0" fillId="2" borderId="0" xfId="0" applyFill="1"/>
    <xf numFmtId="0" fontId="7" fillId="0" borderId="0" xfId="0" applyFont="1"/>
    <xf numFmtId="0" fontId="8" fillId="0" borderId="0" xfId="0" applyFont="1"/>
    <xf numFmtId="0" fontId="2" fillId="0" borderId="0" xfId="0" applyFont="1"/>
    <xf numFmtId="166" fontId="0" fillId="0" borderId="0" xfId="0" applyNumberFormat="1"/>
    <xf numFmtId="2" fontId="3" fillId="0" borderId="10" xfId="0" applyNumberFormat="1" applyFont="1" applyBorder="1"/>
    <xf numFmtId="0" fontId="0" fillId="0" borderId="10" xfId="0" applyBorder="1"/>
    <xf numFmtId="164" fontId="2" fillId="0" borderId="0" xfId="0" applyNumberFormat="1" applyFont="1" applyAlignment="1">
      <alignment horizontal="left"/>
    </xf>
    <xf numFmtId="0" fontId="3" fillId="0" borderId="6" xfId="0" applyFont="1" applyBorder="1"/>
    <xf numFmtId="0" fontId="3" fillId="0" borderId="9" xfId="0" applyFont="1" applyBorder="1"/>
    <xf numFmtId="169" fontId="3" fillId="0" borderId="4" xfId="0" applyNumberFormat="1" applyFont="1" applyBorder="1" applyAlignment="1">
      <alignment horizontal="right"/>
    </xf>
    <xf numFmtId="169" fontId="3" fillId="0" borderId="6" xfId="0" applyNumberFormat="1" applyFont="1" applyBorder="1" applyAlignment="1">
      <alignment horizontal="right"/>
    </xf>
    <xf numFmtId="169" fontId="3" fillId="0" borderId="9" xfId="0" applyNumberFormat="1" applyFont="1" applyBorder="1" applyAlignment="1">
      <alignment horizontal="right"/>
    </xf>
    <xf numFmtId="0" fontId="2" fillId="2" borderId="0" xfId="0" applyFont="1" applyFill="1"/>
    <xf numFmtId="0" fontId="2" fillId="0" borderId="3" xfId="0" applyFont="1" applyBorder="1"/>
    <xf numFmtId="0" fontId="2" fillId="0" borderId="8" xfId="0" applyFont="1" applyBorder="1"/>
    <xf numFmtId="0" fontId="3" fillId="0" borderId="8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8" xfId="0" applyFont="1" applyBorder="1" applyAlignment="1">
      <alignment horizontal="left"/>
    </xf>
    <xf numFmtId="0" fontId="10" fillId="0" borderId="0" xfId="0" applyFont="1"/>
    <xf numFmtId="0" fontId="2" fillId="0" borderId="10" xfId="0" applyFont="1" applyBorder="1"/>
    <xf numFmtId="165" fontId="2" fillId="0" borderId="0" xfId="0" applyNumberFormat="1" applyFont="1"/>
    <xf numFmtId="0" fontId="2" fillId="0" borderId="1" xfId="0" applyFont="1" applyBorder="1"/>
    <xf numFmtId="168" fontId="0" fillId="0" borderId="0" xfId="0" applyNumberFormat="1"/>
    <xf numFmtId="166" fontId="3" fillId="0" borderId="10" xfId="0" applyNumberFormat="1" applyFont="1" applyBorder="1"/>
    <xf numFmtId="0" fontId="9" fillId="3" borderId="0" xfId="0" applyFont="1" applyFill="1"/>
    <xf numFmtId="0" fontId="3" fillId="3" borderId="0" xfId="0" applyFont="1" applyFill="1"/>
    <xf numFmtId="0" fontId="9" fillId="3" borderId="0" xfId="0" applyFont="1" applyFill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2" fontId="0" fillId="0" borderId="0" xfId="0" applyNumberFormat="1"/>
    <xf numFmtId="14" fontId="0" fillId="0" borderId="0" xfId="0" applyNumberFormat="1"/>
    <xf numFmtId="0" fontId="11" fillId="0" borderId="0" xfId="0" applyFont="1"/>
    <xf numFmtId="0" fontId="3" fillId="0" borderId="3" xfId="0" quotePrefix="1" applyFont="1" applyBorder="1" applyAlignment="1">
      <alignment horizontal="left"/>
    </xf>
    <xf numFmtId="0" fontId="3" fillId="0" borderId="8" xfId="0" quotePrefix="1" applyFont="1" applyBorder="1" applyAlignment="1">
      <alignment horizontal="left"/>
    </xf>
    <xf numFmtId="14" fontId="0" fillId="2" borderId="0" xfId="0" applyNumberFormat="1" applyFill="1"/>
    <xf numFmtId="0" fontId="12" fillId="0" borderId="0" xfId="0" quotePrefix="1" applyFont="1" applyAlignment="1">
      <alignment horizontal="left"/>
    </xf>
    <xf numFmtId="0" fontId="2" fillId="0" borderId="3" xfId="0" quotePrefix="1" applyFont="1" applyBorder="1" applyAlignment="1">
      <alignment horizontal="left"/>
    </xf>
    <xf numFmtId="0" fontId="1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9" fontId="2" fillId="0" borderId="0" xfId="0" applyNumberFormat="1" applyFont="1" applyAlignment="1">
      <alignment horizontal="right"/>
    </xf>
    <xf numFmtId="0" fontId="2" fillId="0" borderId="8" xfId="0" quotePrefix="1" applyFont="1" applyBorder="1" applyAlignment="1">
      <alignment horizontal="left"/>
    </xf>
    <xf numFmtId="0" fontId="2" fillId="0" borderId="0" xfId="0" applyFont="1" applyAlignment="1">
      <alignment vertical="center"/>
    </xf>
    <xf numFmtId="167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left"/>
    </xf>
    <xf numFmtId="0" fontId="15" fillId="0" borderId="0" xfId="0" applyFont="1"/>
    <xf numFmtId="0" fontId="13" fillId="0" borderId="0" xfId="0" applyFont="1"/>
    <xf numFmtId="0" fontId="0" fillId="2" borderId="12" xfId="0" applyFill="1" applyBorder="1"/>
    <xf numFmtId="0" fontId="0" fillId="2" borderId="13" xfId="0" applyFill="1" applyBorder="1"/>
    <xf numFmtId="0" fontId="3" fillId="0" borderId="11" xfId="0" applyFont="1" applyBorder="1"/>
    <xf numFmtId="170" fontId="2" fillId="0" borderId="0" xfId="0" applyNumberFormat="1" applyFont="1" applyAlignment="1">
      <alignment horizontal="center"/>
    </xf>
    <xf numFmtId="20" fontId="0" fillId="0" borderId="0" xfId="0" applyNumberFormat="1"/>
    <xf numFmtId="21" fontId="0" fillId="0" borderId="0" xfId="0" applyNumberFormat="1"/>
    <xf numFmtId="0" fontId="1" fillId="0" borderId="0" xfId="41"/>
    <xf numFmtId="14" fontId="1" fillId="0" borderId="0" xfId="41" applyNumberFormat="1"/>
    <xf numFmtId="21" fontId="1" fillId="0" borderId="0" xfId="41" applyNumberFormat="1"/>
    <xf numFmtId="20" fontId="1" fillId="0" borderId="0" xfId="41" applyNumberFormat="1"/>
    <xf numFmtId="0" fontId="0" fillId="0" borderId="0" xfId="0" applyAlignment="1">
      <alignment horizontal="center"/>
    </xf>
    <xf numFmtId="171" fontId="2" fillId="0" borderId="0" xfId="0" applyNumberFormat="1" applyFont="1"/>
    <xf numFmtId="0" fontId="6" fillId="0" borderId="0" xfId="0" applyFont="1"/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right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left" wrapText="1"/>
    </xf>
  </cellXfs>
  <cellStyles count="43">
    <cellStyle name="20 % – uthevingsfarge 1" xfId="18" builtinId="30" customBuiltin="1"/>
    <cellStyle name="20 % – uthevingsfarge 2" xfId="22" builtinId="34" customBuiltin="1"/>
    <cellStyle name="20 % – uthevingsfarge 3" xfId="26" builtinId="38" customBuiltin="1"/>
    <cellStyle name="20 % – uthevingsfarge 4" xfId="30" builtinId="42" customBuiltin="1"/>
    <cellStyle name="20 % – uthevingsfarge 5" xfId="34" builtinId="46" customBuiltin="1"/>
    <cellStyle name="20 % – uthevingsfarge 6" xfId="38" builtinId="50" customBuiltin="1"/>
    <cellStyle name="40 % – uthevingsfarge 1" xfId="19" builtinId="31" customBuiltin="1"/>
    <cellStyle name="40 % – uthevingsfarge 2" xfId="23" builtinId="35" customBuiltin="1"/>
    <cellStyle name="40 % – uthevingsfarge 3" xfId="27" builtinId="39" customBuiltin="1"/>
    <cellStyle name="40 % – uthevingsfarge 4" xfId="31" builtinId="43" customBuiltin="1"/>
    <cellStyle name="40 % – uthevingsfarge 5" xfId="35" builtinId="47" customBuiltin="1"/>
    <cellStyle name="40 % – uthevingsfarge 6" xfId="39" builtinId="51" customBuiltin="1"/>
    <cellStyle name="60 % – uthevingsfarge 1" xfId="20" builtinId="32" customBuiltin="1"/>
    <cellStyle name="60 % – uthevingsfarge 2" xfId="24" builtinId="36" customBuiltin="1"/>
    <cellStyle name="60 % – uthevingsfarge 3" xfId="28" builtinId="40" customBuiltin="1"/>
    <cellStyle name="60 % – uthevingsfarge 4" xfId="32" builtinId="44" customBuiltin="1"/>
    <cellStyle name="60 % – uthevingsfarge 5" xfId="36" builtinId="48" customBuiltin="1"/>
    <cellStyle name="60 % – uthevingsfarge 6" xfId="40" builtinId="52" customBuiltin="1"/>
    <cellStyle name="Beregning" xfId="11" builtinId="22" customBuiltin="1"/>
    <cellStyle name="Dårlig" xfId="7" builtinId="27" customBuiltin="1"/>
    <cellStyle name="Forklarende tekst" xfId="15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 2" xfId="42" xr:uid="{0818F729-B613-42DD-8403-A01FF86DE52D}"/>
    <cellStyle name="Normal" xfId="0" builtinId="0"/>
    <cellStyle name="Normal 2" xfId="41" xr:uid="{04A87096-D583-4C6A-8EC3-4499A0F7D5A1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6" builtinId="25" customBuiltin="1"/>
    <cellStyle name="Utdata" xfId="10" builtinId="21" customBuiltin="1"/>
    <cellStyle name="Uthevingsfarge1" xfId="17" builtinId="29" customBuiltin="1"/>
    <cellStyle name="Uthevingsfarge2" xfId="21" builtinId="33" customBuiltin="1"/>
    <cellStyle name="Uthevingsfarge3" xfId="25" builtinId="37" customBuiltin="1"/>
    <cellStyle name="Uthevingsfarge4" xfId="29" builtinId="41" customBuiltin="1"/>
    <cellStyle name="Uthevingsfarge5" xfId="33" builtinId="45" customBuiltin="1"/>
    <cellStyle name="Uthevingsfarge6" xfId="37" builtinId="49" customBuiltin="1"/>
    <cellStyle name="Varseltekst" xfId="14" builtinId="11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273"/>
  <sheetViews>
    <sheetView tabSelected="1" workbookViewId="0">
      <selection activeCell="A278" sqref="A278:XFD286"/>
    </sheetView>
  </sheetViews>
  <sheetFormatPr baseColWidth="10" defaultColWidth="11.44140625" defaultRowHeight="13.2" x14ac:dyDescent="0.25"/>
  <cols>
    <col min="1" max="1" width="17.44140625" customWidth="1"/>
    <col min="2" max="2" width="11.5546875" customWidth="1"/>
    <col min="5" max="5" width="12.6640625" customWidth="1"/>
    <col min="7" max="7" width="9" customWidth="1"/>
    <col min="8" max="8" width="10.6640625" customWidth="1"/>
  </cols>
  <sheetData>
    <row r="1" spans="1:11" ht="13.8" thickBot="1" x14ac:dyDescent="0.3">
      <c r="A1" t="s">
        <v>0</v>
      </c>
      <c r="B1">
        <v>2026</v>
      </c>
      <c r="D1" s="66" t="s">
        <v>1</v>
      </c>
      <c r="K1" s="79" t="s">
        <v>128</v>
      </c>
    </row>
    <row r="2" spans="1:11" x14ac:dyDescent="0.25">
      <c r="A2" s="21" t="s">
        <v>2</v>
      </c>
      <c r="B2" s="31"/>
      <c r="H2" s="69" t="s">
        <v>3</v>
      </c>
      <c r="K2" s="79" t="s">
        <v>129</v>
      </c>
    </row>
    <row r="3" spans="1:11" x14ac:dyDescent="0.25">
      <c r="A3" s="21" t="s">
        <v>4</v>
      </c>
      <c r="B3" s="31" t="s">
        <v>136</v>
      </c>
      <c r="D3" s="84" t="s">
        <v>5</v>
      </c>
      <c r="E3" s="84"/>
      <c r="F3" s="31"/>
      <c r="H3" s="67"/>
      <c r="I3" s="21"/>
    </row>
    <row r="4" spans="1:11" x14ac:dyDescent="0.25">
      <c r="A4" s="21" t="s">
        <v>6</v>
      </c>
      <c r="B4" s="18"/>
      <c r="D4" s="84" t="s">
        <v>6</v>
      </c>
      <c r="E4" s="84"/>
      <c r="F4" s="18"/>
      <c r="H4" s="67"/>
    </row>
    <row r="5" spans="1:11" x14ac:dyDescent="0.25">
      <c r="A5" s="21" t="s">
        <v>118</v>
      </c>
      <c r="B5" s="18"/>
      <c r="D5" s="84" t="s">
        <v>119</v>
      </c>
      <c r="E5" s="84"/>
      <c r="F5" s="18">
        <v>0</v>
      </c>
      <c r="H5" s="67"/>
    </row>
    <row r="6" spans="1:11" x14ac:dyDescent="0.25">
      <c r="A6" s="21" t="s">
        <v>130</v>
      </c>
      <c r="B6" s="80" t="s">
        <v>128</v>
      </c>
      <c r="D6" s="21" t="s">
        <v>130</v>
      </c>
      <c r="F6" s="80" t="s">
        <v>129</v>
      </c>
      <c r="H6" s="67"/>
    </row>
    <row r="7" spans="1:11" x14ac:dyDescent="0.25">
      <c r="A7" s="21" t="s">
        <v>135</v>
      </c>
      <c r="B7" s="81">
        <f>DATE((B1),1,1)</f>
        <v>46023</v>
      </c>
      <c r="D7" s="21" t="s">
        <v>135</v>
      </c>
      <c r="F7" s="81">
        <f>DATE((B1),1,1)</f>
        <v>46023</v>
      </c>
      <c r="H7" s="67"/>
    </row>
    <row r="8" spans="1:11" x14ac:dyDescent="0.25">
      <c r="A8" s="21" t="s">
        <v>121</v>
      </c>
      <c r="H8" s="67"/>
      <c r="I8" s="21"/>
    </row>
    <row r="9" spans="1:11" x14ac:dyDescent="0.25">
      <c r="A9" s="85" t="s">
        <v>131</v>
      </c>
      <c r="B9" s="85"/>
      <c r="C9" s="85"/>
      <c r="D9" s="85"/>
      <c r="E9" s="85"/>
      <c r="F9" s="85"/>
      <c r="G9" s="86"/>
      <c r="H9" s="67"/>
    </row>
    <row r="10" spans="1:11" x14ac:dyDescent="0.25">
      <c r="A10" s="85"/>
      <c r="B10" s="85"/>
      <c r="C10" s="85"/>
      <c r="D10" s="85"/>
      <c r="E10" s="85"/>
      <c r="F10" s="85"/>
      <c r="G10" s="86"/>
      <c r="H10" s="67"/>
    </row>
    <row r="11" spans="1:11" ht="16.2" thickBot="1" x14ac:dyDescent="0.35">
      <c r="A11" s="19" t="str">
        <f>"Oversikt "&amp;B3</f>
        <v>Oversikt Hovedkontoret</v>
      </c>
      <c r="H11" s="68"/>
    </row>
    <row r="12" spans="1:11" x14ac:dyDescent="0.25">
      <c r="A12" s="2" t="s">
        <v>7</v>
      </c>
      <c r="B12" s="2" t="s">
        <v>115</v>
      </c>
      <c r="C12" s="2" t="s">
        <v>8</v>
      </c>
      <c r="D12" s="2" t="s">
        <v>9</v>
      </c>
      <c r="E12" s="2" t="s">
        <v>10</v>
      </c>
      <c r="F12" s="2" t="s">
        <v>11</v>
      </c>
      <c r="G12" s="2" t="s">
        <v>12</v>
      </c>
    </row>
    <row r="13" spans="1:11" x14ac:dyDescent="0.25">
      <c r="A13" s="21" t="s">
        <v>13</v>
      </c>
      <c r="B13" s="22">
        <f ca="1">SUMIFS(Timer!L$13:L$648,Timer!F$13:F$648,H13,Timer!E$13:E$648,1)-SUMIFS(Timer!C$13:C$648,Timer!F$13:F$648,H13,Timer!E$13:E$648,1)</f>
        <v>0</v>
      </c>
      <c r="C13">
        <f>COUNTIFS(Timer!L$13:L$648,"Ferie",Timer!F$13:F$648,H13)</f>
        <v>0</v>
      </c>
      <c r="D13">
        <f>COUNTIFS(Timer!L$13:L$648,"Syk",Timer!F$13:F$648,H13)</f>
        <v>0</v>
      </c>
      <c r="E13" s="42">
        <f>SUMIFS(Timer!C$13:C$648,Timer!F$13:F$648,H13)</f>
        <v>0</v>
      </c>
      <c r="F13" s="22">
        <f>SUMIFS(Timer!L$13:L$648,Timer!F$13:F$648,H13)</f>
        <v>0</v>
      </c>
      <c r="G13" s="22">
        <f>SUMIFS(Timer!O$13:O$648,Timer!F$13:F$648,H13)</f>
        <v>0</v>
      </c>
      <c r="H13" s="57">
        <v>1</v>
      </c>
    </row>
    <row r="14" spans="1:11" x14ac:dyDescent="0.25">
      <c r="A14" s="21" t="s">
        <v>14</v>
      </c>
      <c r="B14" s="22">
        <f ca="1">SUMIFS(Timer!L$13:L$648,Timer!F$13:F$648,H14,Timer!E$13:E$648,1)-SUMIFS(Timer!C$13:C$648,Timer!F$13:F$648,H14,Timer!E$13:E$648,1)</f>
        <v>0</v>
      </c>
      <c r="C14">
        <f>COUNTIFS(Timer!L$13:L$648,"Ferie",Timer!F$13:F$648,H14)</f>
        <v>0</v>
      </c>
      <c r="D14">
        <f>COUNTIFS(Timer!L$13:L$648,"Syk",Timer!F$13:F$648,H14)</f>
        <v>0</v>
      </c>
      <c r="E14" s="42">
        <f>SUMIFS(Timer!C$13:C$648,Timer!F$13:F$648,H14)</f>
        <v>0</v>
      </c>
      <c r="F14" s="22">
        <f>SUMIFS(Timer!L$13:L$648,Timer!F$13:F$648,H14)</f>
        <v>0</v>
      </c>
      <c r="G14" s="22">
        <f>SUMIFS(Timer!O$13:O$648,Timer!F$13:F$648,H14)</f>
        <v>0</v>
      </c>
      <c r="H14" s="57">
        <v>2</v>
      </c>
    </row>
    <row r="15" spans="1:11" x14ac:dyDescent="0.25">
      <c r="A15" s="21" t="s">
        <v>15</v>
      </c>
      <c r="B15" s="22">
        <f ca="1">SUMIFS(Timer!L$13:L$648,Timer!F$13:F$648,H15,Timer!E$13:E$648,1)-SUMIFS(Timer!C$13:C$648,Timer!F$13:F$648,H15,Timer!E$13:E$648,1)</f>
        <v>0</v>
      </c>
      <c r="C15">
        <f>COUNTIFS(Timer!L$13:L$648,"Ferie",Timer!F$13:F$648,H15)</f>
        <v>0</v>
      </c>
      <c r="D15">
        <f>COUNTIFS(Timer!L$13:L$648,"Syk",Timer!F$13:F$648,H15)</f>
        <v>0</v>
      </c>
      <c r="E15" s="42">
        <f>SUMIFS(Timer!C$13:C$648,Timer!F$13:F$648,H15)</f>
        <v>0</v>
      </c>
      <c r="F15" s="22">
        <f>SUMIFS(Timer!L$13:L$648,Timer!F$13:F$648,H15)</f>
        <v>0</v>
      </c>
      <c r="G15" s="22">
        <f>SUMIFS(Timer!O$13:O$648,Timer!F$13:F$648,H15)</f>
        <v>0</v>
      </c>
      <c r="H15" s="57">
        <v>3</v>
      </c>
    </row>
    <row r="16" spans="1:11" x14ac:dyDescent="0.25">
      <c r="A16" s="21" t="s">
        <v>16</v>
      </c>
      <c r="B16" s="22">
        <f ca="1">SUMIFS(Timer!L$13:L$648,Timer!F$13:F$648,H16,Timer!E$13:E$648,1)-SUMIFS(Timer!C$13:C$648,Timer!F$13:F$648,H16,Timer!E$13:E$648,1)</f>
        <v>0</v>
      </c>
      <c r="C16">
        <f>COUNTIFS(Timer!L$13:L$648,"Ferie",Timer!F$13:F$648,H16)</f>
        <v>0</v>
      </c>
      <c r="D16">
        <f>COUNTIFS(Timer!L$13:L$648,"Syk",Timer!F$13:F$648,H16)</f>
        <v>0</v>
      </c>
      <c r="E16" s="42">
        <f>SUMIFS(Timer!C$13:C$648,Timer!F$13:F$648,H16)</f>
        <v>0</v>
      </c>
      <c r="F16" s="22">
        <f>SUMIFS(Timer!L$13:L$648,Timer!F$13:F$648,H16)</f>
        <v>0</v>
      </c>
      <c r="G16" s="22">
        <f>SUMIFS(Timer!O$13:O$648,Timer!F$13:F$648,H16)</f>
        <v>0</v>
      </c>
      <c r="H16" s="57">
        <v>4</v>
      </c>
    </row>
    <row r="17" spans="1:9" x14ac:dyDescent="0.25">
      <c r="A17" s="21" t="s">
        <v>17</v>
      </c>
      <c r="B17" s="22">
        <f ca="1">SUMIFS(Timer!L$13:L$648,Timer!F$13:F$648,H17,Timer!E$13:E$648,1)-SUMIFS(Timer!C$13:C$648,Timer!F$13:F$648,H17,Timer!E$13:E$648,1)</f>
        <v>0</v>
      </c>
      <c r="C17">
        <f>COUNTIFS(Timer!L$13:L$648,"Ferie",Timer!F$13:F$648,H17)</f>
        <v>0</v>
      </c>
      <c r="D17">
        <f>COUNTIFS(Timer!L$13:L$648,"Syk",Timer!F$13:F$648,H17)</f>
        <v>0</v>
      </c>
      <c r="E17" s="42">
        <f>SUMIFS(Timer!C$13:C$648,Timer!F$13:F$648,H17)</f>
        <v>0</v>
      </c>
      <c r="F17" s="22">
        <f>SUMIFS(Timer!L$13:L$648,Timer!F$13:F$648,H17)</f>
        <v>0</v>
      </c>
      <c r="G17" s="22">
        <f>SUMIFS(Timer!O$13:O$648,Timer!F$13:F$648,H17)</f>
        <v>0</v>
      </c>
      <c r="H17" s="57">
        <v>5</v>
      </c>
    </row>
    <row r="18" spans="1:9" x14ac:dyDescent="0.25">
      <c r="A18" s="21" t="s">
        <v>18</v>
      </c>
      <c r="B18" s="22">
        <f ca="1">SUMIFS(Timer!L$13:L$648,Timer!F$13:F$648,H18,Timer!E$13:E$648,1)-SUMIFS(Timer!C$13:C$648,Timer!F$13:F$648,H18,Timer!E$13:E$648,1)</f>
        <v>0</v>
      </c>
      <c r="C18">
        <f>COUNTIFS(Timer!L$13:L$648,"Ferie",Timer!F$13:F$648,H18)</f>
        <v>0</v>
      </c>
      <c r="D18">
        <f>COUNTIFS(Timer!L$13:L$648,"Syk",Timer!F$13:F$648,H18)</f>
        <v>0</v>
      </c>
      <c r="E18" s="42">
        <f>SUMIFS(Timer!C$13:C$648,Timer!F$13:F$648,H18)</f>
        <v>0</v>
      </c>
      <c r="F18" s="22">
        <f>SUMIFS(Timer!L$13:L$648,Timer!F$13:F$648,H18)</f>
        <v>0</v>
      </c>
      <c r="G18" s="22">
        <f>SUMIFS(Timer!O$13:O$648,Timer!F$13:F$648,H18)</f>
        <v>0</v>
      </c>
      <c r="H18" s="57">
        <v>6</v>
      </c>
    </row>
    <row r="19" spans="1:9" x14ac:dyDescent="0.25">
      <c r="A19" s="21" t="s">
        <v>19</v>
      </c>
      <c r="B19" s="22">
        <f ca="1">SUMIFS(Timer!L$13:L$648,Timer!F$13:F$648,H19,Timer!E$13:E$648,1)-SUMIFS(Timer!C$13:C$648,Timer!F$13:F$648,H19,Timer!E$13:E$648,1)</f>
        <v>0</v>
      </c>
      <c r="C19">
        <f>COUNTIFS(Timer!L$13:L$648,"Ferie",Timer!F$13:F$648,H19)</f>
        <v>0</v>
      </c>
      <c r="D19">
        <f>COUNTIFS(Timer!L$13:L$648,"Syk",Timer!F$13:F$648,H19)</f>
        <v>0</v>
      </c>
      <c r="E19" s="42">
        <f>SUMIFS(Timer!C$13:C$648,Timer!F$13:F$648,H19)</f>
        <v>0</v>
      </c>
      <c r="F19" s="22">
        <f>SUMIFS(Timer!L$13:L$648,Timer!F$13:F$648,H19)</f>
        <v>0</v>
      </c>
      <c r="G19" s="22">
        <f>SUMIFS(Timer!O$13:O$648,Timer!F$13:F$648,H19)</f>
        <v>0</v>
      </c>
      <c r="H19" s="57">
        <v>7</v>
      </c>
    </row>
    <row r="20" spans="1:9" x14ac:dyDescent="0.25">
      <c r="A20" s="21" t="s">
        <v>20</v>
      </c>
      <c r="B20" s="22">
        <f ca="1">SUMIFS(Timer!L$13:L$648,Timer!F$13:F$648,H20,Timer!E$13:E$648,1)-SUMIFS(Timer!C$13:C$648,Timer!F$13:F$648,H20,Timer!E$13:E$648,1)</f>
        <v>0</v>
      </c>
      <c r="C20">
        <f>COUNTIFS(Timer!L$13:L$648,"Ferie",Timer!F$13:F$648,H20)</f>
        <v>0</v>
      </c>
      <c r="D20">
        <f>COUNTIFS(Timer!L$13:L$648,"Syk",Timer!F$13:F$648,H20)</f>
        <v>0</v>
      </c>
      <c r="E20" s="42">
        <f>SUMIFS(Timer!C$13:C$648,Timer!F$13:F$648,H20)</f>
        <v>0</v>
      </c>
      <c r="F20" s="22">
        <f>SUMIFS(Timer!L$13:L$648,Timer!F$13:F$648,H20)</f>
        <v>0</v>
      </c>
      <c r="G20" s="22">
        <f>SUMIFS(Timer!O$13:O$648,Timer!F$13:F$648,H20)</f>
        <v>0</v>
      </c>
      <c r="H20" s="57">
        <v>8</v>
      </c>
    </row>
    <row r="21" spans="1:9" x14ac:dyDescent="0.25">
      <c r="A21" s="21" t="s">
        <v>21</v>
      </c>
      <c r="B21" s="22">
        <f ca="1">SUMIFS(Timer!L$13:L$648,Timer!F$13:F$648,H21,Timer!E$13:E$648,1)-SUMIFS(Timer!C$13:C$648,Timer!F$13:F$648,H21,Timer!E$13:E$648,1)</f>
        <v>0</v>
      </c>
      <c r="C21">
        <f>COUNTIFS(Timer!L$13:L$648,"Ferie",Timer!F$13:F$648,H21)</f>
        <v>0</v>
      </c>
      <c r="D21">
        <f>COUNTIFS(Timer!L$13:L$648,"Syk",Timer!F$13:F$648,H21)</f>
        <v>0</v>
      </c>
      <c r="E21" s="42">
        <f>SUMIFS(Timer!C$13:C$648,Timer!F$13:F$648,H21)</f>
        <v>0</v>
      </c>
      <c r="F21" s="22">
        <f>SUMIFS(Timer!L$13:L$648,Timer!F$13:F$648,H21)</f>
        <v>0</v>
      </c>
      <c r="G21" s="22">
        <f>SUMIFS(Timer!O$13:O$648,Timer!F$13:F$648,H21)</f>
        <v>0</v>
      </c>
      <c r="H21" s="57">
        <v>9</v>
      </c>
    </row>
    <row r="22" spans="1:9" x14ac:dyDescent="0.25">
      <c r="A22" s="21" t="s">
        <v>22</v>
      </c>
      <c r="B22" s="22">
        <f ca="1">SUMIFS(Timer!L$13:L$648,Timer!F$13:F$648,H22,Timer!E$13:E$648,1)-SUMIFS(Timer!C$13:C$648,Timer!F$13:F$648,H22,Timer!E$13:E$648,1)</f>
        <v>0</v>
      </c>
      <c r="C22">
        <f>COUNTIFS(Timer!L$13:L$648,"Ferie",Timer!F$13:F$648,H22)</f>
        <v>0</v>
      </c>
      <c r="D22">
        <f>COUNTIFS(Timer!L$13:L$648,"Syk",Timer!F$13:F$648,H22)</f>
        <v>0</v>
      </c>
      <c r="E22" s="42">
        <f>SUMIFS(Timer!C$13:C$648,Timer!F$13:F$648,H22)</f>
        <v>0</v>
      </c>
      <c r="F22" s="22">
        <f>SUMIFS(Timer!L$13:L$648,Timer!F$13:F$648,H22)</f>
        <v>0</v>
      </c>
      <c r="G22" s="22">
        <f>SUMIFS(Timer!O$13:O$648,Timer!F$13:F$648,H22)</f>
        <v>0</v>
      </c>
      <c r="H22" s="57">
        <v>10</v>
      </c>
    </row>
    <row r="23" spans="1:9" x14ac:dyDescent="0.25">
      <c r="A23" s="21" t="s">
        <v>23</v>
      </c>
      <c r="B23" s="22">
        <f ca="1">SUMIFS(Timer!L$13:L$648,Timer!F$13:F$648,H23,Timer!E$13:E$648,1)-SUMIFS(Timer!C$13:C$648,Timer!F$13:F$648,H23,Timer!E$13:E$648,1)</f>
        <v>0</v>
      </c>
      <c r="C23">
        <f>COUNTIFS(Timer!L$13:L$648,"Ferie",Timer!F$13:F$648,H23)</f>
        <v>0</v>
      </c>
      <c r="D23">
        <f>COUNTIFS(Timer!L$13:L$648,"Syk",Timer!F$13:F$648,H23)</f>
        <v>0</v>
      </c>
      <c r="E23" s="42">
        <f>SUMIFS(Timer!C$13:C$648,Timer!F$13:F$648,H23)</f>
        <v>0</v>
      </c>
      <c r="F23" s="22">
        <f>SUMIFS(Timer!L$13:L$648,Timer!F$13:F$648,H23)</f>
        <v>0</v>
      </c>
      <c r="G23" s="22">
        <f>SUMIFS(Timer!O$13:O$648,Timer!F$13:F$648,H23)</f>
        <v>0</v>
      </c>
      <c r="H23" s="57">
        <v>11</v>
      </c>
    </row>
    <row r="24" spans="1:9" x14ac:dyDescent="0.25">
      <c r="A24" s="21" t="s">
        <v>24</v>
      </c>
      <c r="B24" s="22">
        <f ca="1">SUMIFS(Timer!L$13:L$648,Timer!F$13:F$648,H24,Timer!E$13:E$648,1)-SUMIFS(Timer!C$13:C$648,Timer!F$13:F$648,H24,Timer!E$13:E$648,1)</f>
        <v>0</v>
      </c>
      <c r="C24">
        <f>COUNTIFS(Timer!L$13:L$648,"Ferie",Timer!F$13:F$648,H24)</f>
        <v>0</v>
      </c>
      <c r="D24">
        <f>COUNTIFS(Timer!L$13:L$648,"Syk",Timer!F$13:F$648,H24)</f>
        <v>0</v>
      </c>
      <c r="E24" s="42">
        <f>SUMIFS(Timer!C$13:C$648,Timer!F$13:F$648,H24)</f>
        <v>0</v>
      </c>
      <c r="F24" s="22">
        <f>SUMIFS(Timer!L$13:L$648,Timer!F$13:F$648,H24)</f>
        <v>0</v>
      </c>
      <c r="G24" s="22">
        <f>SUMIFS(Timer!O$13:O$648,Timer!F$13:F$648,H24)</f>
        <v>0</v>
      </c>
      <c r="H24" s="57">
        <v>12</v>
      </c>
      <c r="I24" s="49"/>
    </row>
    <row r="25" spans="1:9" x14ac:dyDescent="0.25">
      <c r="A25" s="17" t="s">
        <v>25</v>
      </c>
      <c r="B25" s="23">
        <f ca="1">SUM(B13:B24)+B5</f>
        <v>0</v>
      </c>
      <c r="C25" s="23">
        <f t="shared" ref="C25:F25" si="0">SUM(C13:C24)</f>
        <v>0</v>
      </c>
      <c r="D25" s="23">
        <f t="shared" si="0"/>
        <v>0</v>
      </c>
      <c r="E25" s="23">
        <f>SUM(E13:E24)</f>
        <v>0</v>
      </c>
      <c r="F25" s="23">
        <f t="shared" si="0"/>
        <v>0</v>
      </c>
      <c r="G25" s="43">
        <f>SUM(G13:G24)</f>
        <v>0</v>
      </c>
    </row>
    <row r="29" spans="1:9" ht="15" x14ac:dyDescent="0.25">
      <c r="A29" s="38" t="str">
        <f>"Oversikt "&amp;F3</f>
        <v xml:space="preserve">Oversikt </v>
      </c>
    </row>
    <row r="30" spans="1:9" x14ac:dyDescent="0.25">
      <c r="A30" s="2" t="s">
        <v>7</v>
      </c>
      <c r="B30" s="2" t="s">
        <v>115</v>
      </c>
      <c r="C30" s="2" t="s">
        <v>8</v>
      </c>
      <c r="D30" s="2" t="s">
        <v>9</v>
      </c>
      <c r="E30" s="2" t="s">
        <v>10</v>
      </c>
      <c r="F30" s="2" t="s">
        <v>11</v>
      </c>
      <c r="G30" s="2" t="s">
        <v>12</v>
      </c>
    </row>
    <row r="31" spans="1:9" x14ac:dyDescent="0.25">
      <c r="A31" s="21" t="s">
        <v>13</v>
      </c>
      <c r="B31" s="22">
        <f ca="1">SUMIFS(Timer!U$13:U$648,Timer!F$13:F$648,H31,Timer!E$13:E$648,1)-SUMIFS(Timer!D$13:D$648,Timer!F$13:F$648,H31,Timer!E$13:E$648,1)</f>
        <v>0</v>
      </c>
      <c r="C31">
        <f>COUNTIFS(Timer!U$13:U$648,"Ferie",Timer!F$13:F$648,H31)</f>
        <v>0</v>
      </c>
      <c r="D31">
        <f>COUNTIFS(Timer!U$13:U$648,"Syk",Timer!F$13:F$648,H31)</f>
        <v>0</v>
      </c>
      <c r="E31" s="42">
        <f>SUMIFS(Timer!D$13:D$648,Timer!F$13:F$648,H31)</f>
        <v>0</v>
      </c>
      <c r="F31" s="22">
        <f>SUMIFS(Timer!U$13:U$648,Timer!F$13:F$648,H31)</f>
        <v>0</v>
      </c>
      <c r="G31" s="22">
        <f>SUMIFS(Timer!X$13:X$648,Timer!F$13:F$648,H31)</f>
        <v>0</v>
      </c>
      <c r="H31" s="57">
        <v>1</v>
      </c>
    </row>
    <row r="32" spans="1:9" x14ac:dyDescent="0.25">
      <c r="A32" s="21" t="s">
        <v>14</v>
      </c>
      <c r="B32" s="22">
        <f ca="1">SUMIFS(Timer!U$13:U$648,Timer!F$13:F$648,H32,Timer!E$13:E$648,1)-SUMIFS(Timer!D$13:D$648,Timer!F$13:F$648,H32,Timer!E$13:E$648,1)</f>
        <v>0</v>
      </c>
      <c r="C32">
        <f>COUNTIFS(Timer!U$13:U$648,"Ferie",Timer!F$13:F$648,H32)</f>
        <v>0</v>
      </c>
      <c r="D32">
        <f>COUNTIFS(Timer!U$13:U$648,"Syk",Timer!F$13:F$648,H32)</f>
        <v>0</v>
      </c>
      <c r="E32" s="42">
        <f>SUMIFS(Timer!D$13:D$648,Timer!F$13:F$648,H32)</f>
        <v>0</v>
      </c>
      <c r="F32" s="22">
        <f>SUMIFS(Timer!U$13:U$648,Timer!F$13:F$648,H32)</f>
        <v>0</v>
      </c>
      <c r="G32" s="22">
        <f>SUMIFS(Timer!X$13:X$648,Timer!F$13:F$648,H32)</f>
        <v>0</v>
      </c>
      <c r="H32" s="57">
        <v>2</v>
      </c>
    </row>
    <row r="33" spans="1:8" x14ac:dyDescent="0.25">
      <c r="A33" s="21" t="s">
        <v>15</v>
      </c>
      <c r="B33" s="22">
        <f ca="1">SUMIFS(Timer!U$13:U$648,Timer!F$13:F$648,H33,Timer!E$13:E$648,1)-SUMIFS(Timer!D$13:D$648,Timer!F$13:F$648,H33,Timer!E$13:E$648,1)</f>
        <v>0</v>
      </c>
      <c r="C33">
        <f>COUNTIFS(Timer!U$13:U$648,"Ferie",Timer!F$13:F$648,H33)</f>
        <v>0</v>
      </c>
      <c r="D33">
        <f>COUNTIFS(Timer!U$13:U$648,"Syk",Timer!F$13:F$648,H33)</f>
        <v>0</v>
      </c>
      <c r="E33" s="42">
        <f>SUMIFS(Timer!D$13:D$648,Timer!F$13:F$648,H33)</f>
        <v>0</v>
      </c>
      <c r="F33" s="22">
        <f>SUMIFS(Timer!U$13:U$648,Timer!F$13:F$648,H33)</f>
        <v>0</v>
      </c>
      <c r="G33" s="22">
        <f>SUMIFS(Timer!X$13:X$648,Timer!F$13:F$648,H33)</f>
        <v>0</v>
      </c>
      <c r="H33" s="57">
        <v>3</v>
      </c>
    </row>
    <row r="34" spans="1:8" x14ac:dyDescent="0.25">
      <c r="A34" s="21" t="s">
        <v>16</v>
      </c>
      <c r="B34" s="22">
        <f ca="1">SUMIFS(Timer!U$13:U$648,Timer!F$13:F$648,H34,Timer!E$13:E$648,1)-SUMIFS(Timer!D$13:D$648,Timer!F$13:F$648,H34,Timer!E$13:E$648,1)</f>
        <v>0</v>
      </c>
      <c r="C34">
        <f>COUNTIFS(Timer!U$13:U$648,"Ferie",Timer!F$13:F$648,H34)</f>
        <v>0</v>
      </c>
      <c r="D34">
        <f>COUNTIFS(Timer!U$13:U$648,"Syk",Timer!F$13:F$648,H34)</f>
        <v>0</v>
      </c>
      <c r="E34" s="42">
        <f>SUMIFS(Timer!D$13:D$648,Timer!F$13:F$648,H34)</f>
        <v>0</v>
      </c>
      <c r="F34" s="22">
        <f>SUMIFS(Timer!U$13:U$648,Timer!F$13:F$648,H34)</f>
        <v>0</v>
      </c>
      <c r="G34" s="22">
        <f>SUMIFS(Timer!X$13:X$648,Timer!F$13:F$648,H34)</f>
        <v>0</v>
      </c>
      <c r="H34" s="57">
        <v>4</v>
      </c>
    </row>
    <row r="35" spans="1:8" x14ac:dyDescent="0.25">
      <c r="A35" s="21" t="s">
        <v>17</v>
      </c>
      <c r="B35" s="22">
        <f ca="1">SUMIFS(Timer!U$13:U$648,Timer!F$13:F$648,H35,Timer!E$13:E$648,1)-SUMIFS(Timer!D$13:D$648,Timer!F$13:F$648,H35,Timer!E$13:E$648,1)</f>
        <v>0</v>
      </c>
      <c r="C35">
        <f>COUNTIFS(Timer!U$13:U$648,"Ferie",Timer!F$13:F$648,H35)</f>
        <v>0</v>
      </c>
      <c r="D35">
        <f ca="1">COUNTIFS(Timer!U$13:U$648,"Syk",Timer!F$13:F$648,H35)</f>
        <v>0</v>
      </c>
      <c r="E35" s="42">
        <f>SUMIFS(Timer!D$13:D$648,Timer!F$13:F$648,H35)</f>
        <v>0</v>
      </c>
      <c r="F35" s="22">
        <f>SUMIFS(Timer!U$13:U$648,Timer!F$13:F$648,H35)</f>
        <v>0</v>
      </c>
      <c r="G35" s="22">
        <f>SUMIFS(Timer!X$13:X$648,Timer!F$13:F$648,H35)</f>
        <v>0</v>
      </c>
      <c r="H35" s="57">
        <v>5</v>
      </c>
    </row>
    <row r="36" spans="1:8" x14ac:dyDescent="0.25">
      <c r="A36" s="21" t="s">
        <v>18</v>
      </c>
      <c r="B36" s="22">
        <f ca="1">SUMIFS(Timer!U$13:U$648,Timer!F$13:F$648,H36,Timer!E$13:E$648,1)-SUMIFS(Timer!D$13:D$648,Timer!F$13:F$648,H36,Timer!E$13:E$648,1)</f>
        <v>0</v>
      </c>
      <c r="C36">
        <f>COUNTIFS(Timer!U$13:U$648,"Ferie",Timer!F$13:F$648,H36)</f>
        <v>0</v>
      </c>
      <c r="D36">
        <f>COUNTIFS(Timer!U$13:U$648,"Syk",Timer!F$13:F$648,H36)</f>
        <v>0</v>
      </c>
      <c r="E36" s="42">
        <f>SUMIFS(Timer!D$13:D$648,Timer!F$13:F$648,H36)</f>
        <v>0</v>
      </c>
      <c r="F36" s="22">
        <f>SUMIFS(Timer!U$13:U$648,Timer!F$13:F$648,H36)</f>
        <v>0</v>
      </c>
      <c r="G36" s="22">
        <f>SUMIFS(Timer!X$13:X$648,Timer!F$13:F$648,H36)</f>
        <v>0</v>
      </c>
      <c r="H36" s="57">
        <v>6</v>
      </c>
    </row>
    <row r="37" spans="1:8" x14ac:dyDescent="0.25">
      <c r="A37" s="21" t="s">
        <v>19</v>
      </c>
      <c r="B37" s="22">
        <f ca="1">SUMIFS(Timer!U$13:U$648,Timer!F$13:F$648,H37,Timer!E$13:E$648,1)-SUMIFS(Timer!D$13:D$648,Timer!F$13:F$648,H37,Timer!E$13:E$648,1)</f>
        <v>0</v>
      </c>
      <c r="C37">
        <f>COUNTIFS(Timer!U$13:U$648,"Ferie",Timer!F$13:F$648,H37)</f>
        <v>0</v>
      </c>
      <c r="D37">
        <f>COUNTIFS(Timer!U$13:U$648,"Syk",Timer!F$13:F$648,H37)</f>
        <v>0</v>
      </c>
      <c r="E37" s="42">
        <f>SUMIFS(Timer!D$13:D$648,Timer!F$13:F$648,H37)</f>
        <v>0</v>
      </c>
      <c r="F37" s="22">
        <f>SUMIFS(Timer!U$13:U$648,Timer!F$13:F$648,H37)</f>
        <v>0</v>
      </c>
      <c r="G37" s="22">
        <f>SUMIFS(Timer!X$13:X$648,Timer!F$13:F$648,H37)</f>
        <v>0</v>
      </c>
      <c r="H37" s="57">
        <v>7</v>
      </c>
    </row>
    <row r="38" spans="1:8" x14ac:dyDescent="0.25">
      <c r="A38" s="21" t="s">
        <v>20</v>
      </c>
      <c r="B38" s="22">
        <f ca="1">SUMIFS(Timer!U$13:U$648,Timer!F$13:F$648,H38,Timer!E$13:E$648,1)-SUMIFS(Timer!D$13:D$648,Timer!F$13:F$648,H38,Timer!E$13:E$648,1)</f>
        <v>0</v>
      </c>
      <c r="C38">
        <f>COUNTIFS(Timer!U$13:U$648,"Ferie",Timer!F$13:F$648,H38)</f>
        <v>0</v>
      </c>
      <c r="D38">
        <f>COUNTIFS(Timer!U$13:U$648,"Syk",Timer!F$13:F$648,H38)</f>
        <v>0</v>
      </c>
      <c r="E38" s="42">
        <f>SUMIFS(Timer!D$13:D$648,Timer!F$13:F$648,H38)</f>
        <v>0</v>
      </c>
      <c r="F38" s="22">
        <f>SUMIFS(Timer!U$13:U$648,Timer!F$13:F$648,H38)</f>
        <v>0</v>
      </c>
      <c r="G38" s="22">
        <f>SUMIFS(Timer!X$13:X$648,Timer!F$13:F$648,H38)</f>
        <v>0</v>
      </c>
      <c r="H38" s="57">
        <v>8</v>
      </c>
    </row>
    <row r="39" spans="1:8" x14ac:dyDescent="0.25">
      <c r="A39" s="21" t="s">
        <v>21</v>
      </c>
      <c r="B39" s="22">
        <f ca="1">SUMIFS(Timer!U$13:U$648,Timer!F$13:F$648,H39,Timer!E$13:E$648,1)-SUMIFS(Timer!D$13:D$648,Timer!F$13:F$648,H39,Timer!E$13:E$648,1)</f>
        <v>0</v>
      </c>
      <c r="C39">
        <f>COUNTIFS(Timer!U$13:U$648,"Ferie",Timer!F$13:F$648,H39)</f>
        <v>0</v>
      </c>
      <c r="D39">
        <f>COUNTIFS(Timer!U$13:U$648,"Syk",Timer!F$13:F$648,H39)</f>
        <v>0</v>
      </c>
      <c r="E39" s="42">
        <f>SUMIFS(Timer!D$13:D$648,Timer!F$13:F$648,H39)</f>
        <v>0</v>
      </c>
      <c r="F39" s="22">
        <f>SUMIFS(Timer!U$13:U$648,Timer!F$13:F$648,H39)</f>
        <v>0</v>
      </c>
      <c r="G39" s="22">
        <f>SUMIFS(Timer!X$13:X$648,Timer!F$13:F$648,H39)</f>
        <v>0</v>
      </c>
      <c r="H39" s="57">
        <v>9</v>
      </c>
    </row>
    <row r="40" spans="1:8" x14ac:dyDescent="0.25">
      <c r="A40" s="21" t="s">
        <v>22</v>
      </c>
      <c r="B40" s="22">
        <f ca="1">SUMIFS(Timer!U$13:U$648,Timer!F$13:F$648,H40,Timer!E$13:E$648,1)-SUMIFS(Timer!D$13:D$648,Timer!F$13:F$648,H40,Timer!E$13:E$648,1)</f>
        <v>0</v>
      </c>
      <c r="C40">
        <f>COUNTIFS(Timer!U$13:U$648,"Ferie",Timer!F$13:F$648,H40)</f>
        <v>0</v>
      </c>
      <c r="D40">
        <f>COUNTIFS(Timer!U$13:U$648,"Syk",Timer!F$13:F$648,H40)</f>
        <v>0</v>
      </c>
      <c r="E40" s="42">
        <f>SUMIFS(Timer!D$13:D$648,Timer!F$13:F$648,H40)</f>
        <v>0</v>
      </c>
      <c r="F40" s="22">
        <f>SUMIFS(Timer!U$13:U$648,Timer!F$13:F$648,H40)</f>
        <v>0</v>
      </c>
      <c r="G40" s="22">
        <f>SUMIFS(Timer!X$13:X$648,Timer!F$13:F$648,H40)</f>
        <v>0</v>
      </c>
      <c r="H40" s="57">
        <v>10</v>
      </c>
    </row>
    <row r="41" spans="1:8" x14ac:dyDescent="0.25">
      <c r="A41" s="21" t="s">
        <v>23</v>
      </c>
      <c r="B41" s="22">
        <f ca="1">SUMIFS(Timer!U$13:U$648,Timer!F$13:F$648,H41,Timer!E$13:E$648,1)-SUMIFS(Timer!D$13:D$648,Timer!F$13:F$648,H41,Timer!E$13:E$648,1)</f>
        <v>0</v>
      </c>
      <c r="C41">
        <f>COUNTIFS(Timer!U$13:U$648,"Ferie",Timer!F$13:F$648,H41)</f>
        <v>0</v>
      </c>
      <c r="D41">
        <f>COUNTIFS(Timer!U$13:U$648,"Syk",Timer!F$13:F$648,H41)</f>
        <v>0</v>
      </c>
      <c r="E41" s="42">
        <f>SUMIFS(Timer!D$13:D$648,Timer!F$13:F$648,H41)</f>
        <v>0</v>
      </c>
      <c r="F41" s="22">
        <f>SUMIFS(Timer!U$13:U$648,Timer!F$13:F$648,H41)</f>
        <v>0</v>
      </c>
      <c r="G41" s="22">
        <f>SUMIFS(Timer!X$13:X$648,Timer!F$13:F$648,H41)</f>
        <v>0</v>
      </c>
      <c r="H41" s="57">
        <v>11</v>
      </c>
    </row>
    <row r="42" spans="1:8" x14ac:dyDescent="0.25">
      <c r="A42" s="21" t="s">
        <v>24</v>
      </c>
      <c r="B42" s="22">
        <f ca="1">SUMIFS(Timer!U$13:U$648,Timer!F$13:F$648,H42,Timer!E$13:E$648,1)-SUMIFS(Timer!D$13:D$648,Timer!F$13:F$648,H42,Timer!E$13:E$648,1)</f>
        <v>0</v>
      </c>
      <c r="C42">
        <f>COUNTIFS(Timer!U$13:U$648,"Ferie",Timer!F$13:F$648,H42)</f>
        <v>0</v>
      </c>
      <c r="D42">
        <f>COUNTIFS(Timer!U$13:U$648,"Syk",Timer!F$13:F$648,H42)</f>
        <v>0</v>
      </c>
      <c r="E42" s="42">
        <f>SUMIFS(Timer!D$13:D$648,Timer!F$13:F$648,H42)</f>
        <v>0</v>
      </c>
      <c r="F42" s="22">
        <f>SUMIFS(Timer!U$13:U$648,Timer!F$13:F$648,H42)</f>
        <v>0</v>
      </c>
      <c r="G42" s="22">
        <f>SUMIFS(Timer!X$13:X$648,Timer!F$13:F$648,H42)</f>
        <v>0</v>
      </c>
      <c r="H42" s="57">
        <v>12</v>
      </c>
    </row>
    <row r="43" spans="1:8" x14ac:dyDescent="0.25">
      <c r="A43" s="17" t="s">
        <v>25</v>
      </c>
      <c r="B43" s="23">
        <f ca="1">SUM(B31:B42)+F5</f>
        <v>0</v>
      </c>
      <c r="C43" s="23">
        <f t="shared" ref="C43:F43" si="1">SUM(C31:C42)</f>
        <v>0</v>
      </c>
      <c r="D43" s="23">
        <f t="shared" ca="1" si="1"/>
        <v>0</v>
      </c>
      <c r="E43" s="23">
        <f>SUM(E31:E42)</f>
        <v>0</v>
      </c>
      <c r="F43" s="23">
        <f t="shared" si="1"/>
        <v>0</v>
      </c>
      <c r="G43" s="17">
        <f>SUM(G31:G42)</f>
        <v>0</v>
      </c>
    </row>
    <row r="52" spans="1:1" ht="20.399999999999999" x14ac:dyDescent="0.35">
      <c r="A52" s="20" t="s">
        <v>26</v>
      </c>
    </row>
    <row r="53" spans="1:1" x14ac:dyDescent="0.25">
      <c r="A53" s="21"/>
    </row>
    <row r="54" spans="1:1" x14ac:dyDescent="0.25">
      <c r="A54" s="47" t="s">
        <v>27</v>
      </c>
    </row>
    <row r="55" spans="1:1" x14ac:dyDescent="0.25">
      <c r="A55" s="21"/>
    </row>
    <row r="56" spans="1:1" x14ac:dyDescent="0.25">
      <c r="A56" s="21" t="s">
        <v>28</v>
      </c>
    </row>
    <row r="57" spans="1:1" x14ac:dyDescent="0.25">
      <c r="A57" s="21" t="s">
        <v>29</v>
      </c>
    </row>
    <row r="59" spans="1:1" x14ac:dyDescent="0.25">
      <c r="A59" s="21" t="s">
        <v>30</v>
      </c>
    </row>
    <row r="60" spans="1:1" x14ac:dyDescent="0.25">
      <c r="A60" s="21" t="s">
        <v>120</v>
      </c>
    </row>
    <row r="61" spans="1:1" x14ac:dyDescent="0.25">
      <c r="A61" s="21" t="s">
        <v>31</v>
      </c>
    </row>
    <row r="62" spans="1:1" x14ac:dyDescent="0.25">
      <c r="A62" s="21" t="s">
        <v>31</v>
      </c>
    </row>
    <row r="63" spans="1:1" x14ac:dyDescent="0.25">
      <c r="A63" s="21" t="s">
        <v>32</v>
      </c>
    </row>
    <row r="65" spans="1:1" x14ac:dyDescent="0.25">
      <c r="A65" s="21" t="s">
        <v>33</v>
      </c>
    </row>
    <row r="66" spans="1:1" x14ac:dyDescent="0.25">
      <c r="A66" s="21" t="s">
        <v>34</v>
      </c>
    </row>
    <row r="67" spans="1:1" x14ac:dyDescent="0.25">
      <c r="A67" s="47" t="s">
        <v>35</v>
      </c>
    </row>
    <row r="68" spans="1:1" x14ac:dyDescent="0.25">
      <c r="A68" s="21" t="s">
        <v>36</v>
      </c>
    </row>
    <row r="69" spans="1:1" x14ac:dyDescent="0.25">
      <c r="A69" s="21" t="s">
        <v>37</v>
      </c>
    </row>
    <row r="70" spans="1:1" x14ac:dyDescent="0.25">
      <c r="A70" s="21" t="s">
        <v>109</v>
      </c>
    </row>
    <row r="71" spans="1:1" x14ac:dyDescent="0.25">
      <c r="A71" s="21" t="s">
        <v>111</v>
      </c>
    </row>
    <row r="72" spans="1:1" x14ac:dyDescent="0.25">
      <c r="A72" s="21" t="s">
        <v>110</v>
      </c>
    </row>
    <row r="73" spans="1:1" x14ac:dyDescent="0.25">
      <c r="A73" s="21" t="s">
        <v>107</v>
      </c>
    </row>
    <row r="74" spans="1:1" x14ac:dyDescent="0.25">
      <c r="A74" s="21" t="s">
        <v>133</v>
      </c>
    </row>
    <row r="75" spans="1:1" x14ac:dyDescent="0.25">
      <c r="A75" s="21" t="s">
        <v>132</v>
      </c>
    </row>
    <row r="76" spans="1:1" x14ac:dyDescent="0.25">
      <c r="A76" s="21" t="s">
        <v>134</v>
      </c>
    </row>
    <row r="78" spans="1:1" x14ac:dyDescent="0.25">
      <c r="A78" s="48" t="s">
        <v>38</v>
      </c>
    </row>
    <row r="79" spans="1:1" x14ac:dyDescent="0.25">
      <c r="A79" s="47" t="s">
        <v>39</v>
      </c>
    </row>
    <row r="80" spans="1:1" x14ac:dyDescent="0.25">
      <c r="A80" s="47" t="s">
        <v>122</v>
      </c>
    </row>
    <row r="81" spans="1:2" x14ac:dyDescent="0.25">
      <c r="A81" s="21" t="s">
        <v>123</v>
      </c>
    </row>
    <row r="83" spans="1:2" x14ac:dyDescent="0.25">
      <c r="A83" s="58" t="s">
        <v>124</v>
      </c>
    </row>
    <row r="85" spans="1:2" x14ac:dyDescent="0.25">
      <c r="A85" s="58" t="s">
        <v>103</v>
      </c>
    </row>
    <row r="86" spans="1:2" x14ac:dyDescent="0.25">
      <c r="A86" s="58" t="s">
        <v>104</v>
      </c>
    </row>
    <row r="87" spans="1:2" x14ac:dyDescent="0.25">
      <c r="A87" s="21" t="s">
        <v>105</v>
      </c>
    </row>
    <row r="88" spans="1:2" x14ac:dyDescent="0.25">
      <c r="A88" t="s">
        <v>106</v>
      </c>
    </row>
    <row r="91" spans="1:2" x14ac:dyDescent="0.25">
      <c r="A91" t="s">
        <v>40</v>
      </c>
    </row>
    <row r="92" spans="1:2" x14ac:dyDescent="0.25">
      <c r="A92" t="s">
        <v>41</v>
      </c>
      <c r="B92">
        <f ca="1">MONTH(TODAY())</f>
        <v>12</v>
      </c>
    </row>
    <row r="93" spans="1:2" x14ac:dyDescent="0.25">
      <c r="A93" s="21" t="s">
        <v>13</v>
      </c>
      <c r="B93">
        <v>1</v>
      </c>
    </row>
    <row r="94" spans="1:2" x14ac:dyDescent="0.25">
      <c r="A94" s="21" t="s">
        <v>14</v>
      </c>
      <c r="B94">
        <v>2</v>
      </c>
    </row>
    <row r="95" spans="1:2" x14ac:dyDescent="0.25">
      <c r="A95" s="21" t="s">
        <v>15</v>
      </c>
      <c r="B95">
        <v>3</v>
      </c>
    </row>
    <row r="96" spans="1:2" x14ac:dyDescent="0.25">
      <c r="A96" s="21" t="s">
        <v>16</v>
      </c>
      <c r="B96">
        <v>4</v>
      </c>
    </row>
    <row r="97" spans="1:6" x14ac:dyDescent="0.25">
      <c r="A97" s="21" t="s">
        <v>17</v>
      </c>
      <c r="B97">
        <v>5</v>
      </c>
    </row>
    <row r="98" spans="1:6" x14ac:dyDescent="0.25">
      <c r="A98" s="21" t="s">
        <v>18</v>
      </c>
      <c r="B98">
        <v>6</v>
      </c>
    </row>
    <row r="99" spans="1:6" x14ac:dyDescent="0.25">
      <c r="A99" s="21" t="s">
        <v>19</v>
      </c>
      <c r="B99">
        <v>7</v>
      </c>
    </row>
    <row r="100" spans="1:6" x14ac:dyDescent="0.25">
      <c r="A100" s="21" t="s">
        <v>20</v>
      </c>
      <c r="B100">
        <v>8</v>
      </c>
    </row>
    <row r="101" spans="1:6" x14ac:dyDescent="0.25">
      <c r="A101" s="21" t="s">
        <v>21</v>
      </c>
      <c r="B101">
        <v>9</v>
      </c>
    </row>
    <row r="102" spans="1:6" x14ac:dyDescent="0.25">
      <c r="A102" s="21" t="s">
        <v>22</v>
      </c>
      <c r="B102">
        <v>10</v>
      </c>
    </row>
    <row r="103" spans="1:6" x14ac:dyDescent="0.25">
      <c r="A103" s="21" t="s">
        <v>23</v>
      </c>
      <c r="B103">
        <v>11</v>
      </c>
    </row>
    <row r="104" spans="1:6" x14ac:dyDescent="0.25">
      <c r="A104" s="21" t="s">
        <v>24</v>
      </c>
      <c r="B104">
        <v>12</v>
      </c>
    </row>
    <row r="109" spans="1:6" x14ac:dyDescent="0.25">
      <c r="A109" s="21" t="s">
        <v>42</v>
      </c>
    </row>
    <row r="110" spans="1:6" x14ac:dyDescent="0.25">
      <c r="A110" t="s">
        <v>43</v>
      </c>
      <c r="B110" t="s">
        <v>44</v>
      </c>
    </row>
    <row r="111" spans="1:6" x14ac:dyDescent="0.25">
      <c r="A111" s="54"/>
      <c r="B111" s="31"/>
      <c r="F111" s="21"/>
    </row>
    <row r="112" spans="1:6" x14ac:dyDescent="0.25">
      <c r="A112" s="54"/>
      <c r="B112" s="18"/>
      <c r="F112" s="21"/>
    </row>
    <row r="113" spans="1:6" x14ac:dyDescent="0.25">
      <c r="A113" s="54"/>
      <c r="B113" s="18"/>
      <c r="F113" s="21"/>
    </row>
    <row r="114" spans="1:6" x14ac:dyDescent="0.25">
      <c r="A114" s="54"/>
      <c r="B114" s="18"/>
      <c r="F114" s="21"/>
    </row>
    <row r="115" spans="1:6" x14ac:dyDescent="0.25">
      <c r="A115" s="54"/>
      <c r="B115" s="18"/>
      <c r="F115" s="21"/>
    </row>
    <row r="116" spans="1:6" x14ac:dyDescent="0.25">
      <c r="A116" s="54"/>
      <c r="B116" s="18"/>
      <c r="F116" s="21"/>
    </row>
    <row r="117" spans="1:6" x14ac:dyDescent="0.25">
      <c r="A117" s="54"/>
      <c r="B117" s="18"/>
      <c r="F117" s="21"/>
    </row>
    <row r="118" spans="1:6" x14ac:dyDescent="0.25">
      <c r="A118" s="54"/>
      <c r="B118" s="18"/>
      <c r="F118" s="21"/>
    </row>
    <row r="119" spans="1:6" x14ac:dyDescent="0.25">
      <c r="A119" s="54"/>
      <c r="B119" s="18"/>
      <c r="F119" s="21"/>
    </row>
    <row r="120" spans="1:6" x14ac:dyDescent="0.25">
      <c r="A120" s="54"/>
      <c r="B120" s="18"/>
      <c r="F120" s="21"/>
    </row>
    <row r="121" spans="1:6" x14ac:dyDescent="0.25">
      <c r="A121" s="54"/>
      <c r="B121" s="18"/>
      <c r="F121" s="21"/>
    </row>
    <row r="122" spans="1:6" x14ac:dyDescent="0.25">
      <c r="A122" s="54"/>
      <c r="B122" s="18"/>
      <c r="F122" s="21"/>
    </row>
    <row r="123" spans="1:6" x14ac:dyDescent="0.25">
      <c r="A123" s="54"/>
      <c r="B123" s="31"/>
      <c r="F123" s="21"/>
    </row>
    <row r="124" spans="1:6" x14ac:dyDescent="0.25">
      <c r="A124" s="54"/>
      <c r="B124" s="18"/>
      <c r="F124" s="21"/>
    </row>
    <row r="125" spans="1:6" x14ac:dyDescent="0.25">
      <c r="A125" s="54"/>
      <c r="B125" s="18"/>
      <c r="F125" s="21"/>
    </row>
    <row r="126" spans="1:6" x14ac:dyDescent="0.25">
      <c r="A126" s="54"/>
      <c r="B126" s="18"/>
      <c r="F126" s="21"/>
    </row>
    <row r="127" spans="1:6" x14ac:dyDescent="0.25">
      <c r="A127" s="54"/>
      <c r="B127" s="18"/>
      <c r="F127" s="21"/>
    </row>
    <row r="128" spans="1:6" x14ac:dyDescent="0.25">
      <c r="A128" s="54"/>
      <c r="B128" s="18"/>
      <c r="F128" s="21"/>
    </row>
    <row r="129" spans="1:6" x14ac:dyDescent="0.25">
      <c r="A129" s="54"/>
      <c r="B129" s="18"/>
      <c r="F129" s="21"/>
    </row>
    <row r="130" spans="1:6" x14ac:dyDescent="0.25">
      <c r="A130" s="54"/>
      <c r="B130" s="18"/>
      <c r="F130" s="21"/>
    </row>
    <row r="131" spans="1:6" x14ac:dyDescent="0.25">
      <c r="A131" s="54"/>
      <c r="B131" s="18"/>
      <c r="F131" s="21"/>
    </row>
    <row r="132" spans="1:6" x14ac:dyDescent="0.25">
      <c r="A132" s="54"/>
      <c r="B132" s="18"/>
      <c r="F132" s="21"/>
    </row>
    <row r="133" spans="1:6" x14ac:dyDescent="0.25">
      <c r="A133" s="54"/>
      <c r="B133" s="18"/>
      <c r="F133" s="21"/>
    </row>
    <row r="134" spans="1:6" x14ac:dyDescent="0.25">
      <c r="A134" s="54"/>
      <c r="B134" s="18"/>
      <c r="F134" s="21"/>
    </row>
    <row r="135" spans="1:6" x14ac:dyDescent="0.25">
      <c r="A135" s="54"/>
      <c r="B135" s="18"/>
      <c r="F135" s="21"/>
    </row>
    <row r="136" spans="1:6" x14ac:dyDescent="0.25">
      <c r="A136" s="54"/>
      <c r="B136" s="18"/>
      <c r="F136" s="21"/>
    </row>
    <row r="137" spans="1:6" x14ac:dyDescent="0.25">
      <c r="A137" s="54"/>
      <c r="B137" s="18"/>
      <c r="F137" s="21"/>
    </row>
    <row r="138" spans="1:6" x14ac:dyDescent="0.25">
      <c r="A138" s="54"/>
      <c r="B138" s="18"/>
      <c r="F138" s="21"/>
    </row>
    <row r="139" spans="1:6" x14ac:dyDescent="0.25">
      <c r="A139" s="54"/>
      <c r="B139" s="18"/>
      <c r="F139" s="21"/>
    </row>
    <row r="140" spans="1:6" x14ac:dyDescent="0.25">
      <c r="A140" s="54"/>
      <c r="B140" s="18"/>
      <c r="F140" s="21"/>
    </row>
    <row r="141" spans="1:6" x14ac:dyDescent="0.25">
      <c r="A141" s="54"/>
      <c r="B141" s="18"/>
      <c r="F141" s="21"/>
    </row>
    <row r="142" spans="1:6" x14ac:dyDescent="0.25">
      <c r="A142" s="54"/>
      <c r="B142" s="18"/>
      <c r="F142" s="21"/>
    </row>
    <row r="143" spans="1:6" x14ac:dyDescent="0.25">
      <c r="A143" s="54"/>
      <c r="B143" s="18"/>
      <c r="F143" s="21"/>
    </row>
    <row r="144" spans="1:6" x14ac:dyDescent="0.25">
      <c r="A144" s="54"/>
      <c r="B144" s="18"/>
      <c r="F144" s="21"/>
    </row>
    <row r="145" spans="1:6" x14ac:dyDescent="0.25">
      <c r="A145" s="54"/>
      <c r="B145" s="18"/>
      <c r="F145" s="21"/>
    </row>
    <row r="146" spans="1:6" x14ac:dyDescent="0.25">
      <c r="A146" s="54"/>
      <c r="B146" s="18"/>
      <c r="F146" s="21"/>
    </row>
    <row r="147" spans="1:6" x14ac:dyDescent="0.25">
      <c r="A147" s="54"/>
      <c r="B147" s="18"/>
      <c r="F147" s="21"/>
    </row>
    <row r="148" spans="1:6" x14ac:dyDescent="0.25">
      <c r="A148" s="54"/>
      <c r="B148" s="18"/>
      <c r="F148" s="21"/>
    </row>
    <row r="149" spans="1:6" x14ac:dyDescent="0.25">
      <c r="A149" s="54"/>
      <c r="B149" s="18"/>
      <c r="F149" s="21"/>
    </row>
    <row r="150" spans="1:6" x14ac:dyDescent="0.25">
      <c r="A150" s="54"/>
      <c r="B150" s="18"/>
      <c r="F150" s="21"/>
    </row>
    <row r="151" spans="1:6" x14ac:dyDescent="0.25">
      <c r="A151" s="54"/>
      <c r="B151" s="18"/>
      <c r="F151" s="21"/>
    </row>
    <row r="152" spans="1:6" x14ac:dyDescent="0.25">
      <c r="A152" s="54"/>
      <c r="B152" s="18"/>
      <c r="F152" s="21"/>
    </row>
    <row r="153" spans="1:6" x14ac:dyDescent="0.25">
      <c r="A153" s="54"/>
      <c r="B153" s="18"/>
      <c r="F153" s="21"/>
    </row>
    <row r="154" spans="1:6" x14ac:dyDescent="0.25">
      <c r="A154" s="54"/>
      <c r="B154" s="18"/>
      <c r="F154" s="21"/>
    </row>
    <row r="155" spans="1:6" x14ac:dyDescent="0.25">
      <c r="A155" s="54"/>
      <c r="B155" s="18"/>
    </row>
    <row r="156" spans="1:6" x14ac:dyDescent="0.25">
      <c r="A156" s="54"/>
      <c r="B156" s="18"/>
    </row>
    <row r="157" spans="1:6" x14ac:dyDescent="0.25">
      <c r="A157" s="54"/>
      <c r="B157" s="18"/>
    </row>
    <row r="158" spans="1:6" x14ac:dyDescent="0.25">
      <c r="A158" s="54"/>
      <c r="B158" s="18"/>
    </row>
    <row r="159" spans="1:6" x14ac:dyDescent="0.25">
      <c r="A159" s="54"/>
      <c r="B159" s="18"/>
    </row>
    <row r="160" spans="1:6" x14ac:dyDescent="0.25">
      <c r="A160" s="54"/>
      <c r="B160" s="18"/>
    </row>
    <row r="161" spans="1:3" x14ac:dyDescent="0.25">
      <c r="A161" s="54"/>
      <c r="B161" s="31"/>
    </row>
    <row r="162" spans="1:3" x14ac:dyDescent="0.25">
      <c r="A162" s="54"/>
      <c r="B162" s="31"/>
    </row>
    <row r="163" spans="1:3" x14ac:dyDescent="0.25">
      <c r="A163" s="2" t="s">
        <v>45</v>
      </c>
    </row>
    <row r="164" spans="1:3" x14ac:dyDescent="0.25">
      <c r="A164" t="s">
        <v>43</v>
      </c>
      <c r="B164" t="s">
        <v>46</v>
      </c>
    </row>
    <row r="165" spans="1:3" x14ac:dyDescent="0.25">
      <c r="A165" s="54">
        <v>46023</v>
      </c>
      <c r="B165" s="18" t="s">
        <v>47</v>
      </c>
    </row>
    <row r="166" spans="1:3" x14ac:dyDescent="0.25">
      <c r="A166" s="54">
        <v>46110</v>
      </c>
      <c r="B166" s="18" t="s">
        <v>48</v>
      </c>
    </row>
    <row r="167" spans="1:3" x14ac:dyDescent="0.25">
      <c r="A167" s="54">
        <v>46114</v>
      </c>
      <c r="B167" s="18" t="s">
        <v>49</v>
      </c>
    </row>
    <row r="168" spans="1:3" x14ac:dyDescent="0.25">
      <c r="A168" s="54">
        <v>46115</v>
      </c>
      <c r="B168" s="18" t="s">
        <v>50</v>
      </c>
    </row>
    <row r="169" spans="1:3" x14ac:dyDescent="0.25">
      <c r="A169" s="54">
        <v>46117</v>
      </c>
      <c r="B169" s="18" t="s">
        <v>51</v>
      </c>
    </row>
    <row r="170" spans="1:3" x14ac:dyDescent="0.25">
      <c r="A170" s="54">
        <v>46118</v>
      </c>
      <c r="B170" s="18" t="s">
        <v>52</v>
      </c>
    </row>
    <row r="171" spans="1:3" x14ac:dyDescent="0.25">
      <c r="A171" s="54">
        <v>46143</v>
      </c>
      <c r="B171" s="18" t="s">
        <v>100</v>
      </c>
    </row>
    <row r="172" spans="1:3" x14ac:dyDescent="0.25">
      <c r="A172" s="54">
        <v>46156</v>
      </c>
      <c r="B172" s="18" t="s">
        <v>54</v>
      </c>
    </row>
    <row r="173" spans="1:3" x14ac:dyDescent="0.25">
      <c r="A173" s="54">
        <v>46159</v>
      </c>
      <c r="B173" s="18" t="s">
        <v>53</v>
      </c>
    </row>
    <row r="174" spans="1:3" x14ac:dyDescent="0.25">
      <c r="A174" s="54">
        <v>46166</v>
      </c>
      <c r="B174" s="18" t="s">
        <v>55</v>
      </c>
    </row>
    <row r="175" spans="1:3" x14ac:dyDescent="0.25">
      <c r="A175" s="54">
        <v>46167</v>
      </c>
      <c r="B175" s="18" t="s">
        <v>56</v>
      </c>
    </row>
    <row r="176" spans="1:3" x14ac:dyDescent="0.25">
      <c r="A176" s="54">
        <v>46381</v>
      </c>
      <c r="B176" s="18" t="s">
        <v>57</v>
      </c>
      <c r="C176" s="51"/>
    </row>
    <row r="177" spans="1:3" x14ac:dyDescent="0.25">
      <c r="A177" s="54">
        <v>46382</v>
      </c>
      <c r="B177" s="18" t="s">
        <v>58</v>
      </c>
      <c r="C177" s="51"/>
    </row>
    <row r="178" spans="1:3" x14ac:dyDescent="0.25">
      <c r="A178" s="54">
        <v>46388</v>
      </c>
      <c r="B178" s="18" t="s">
        <v>47</v>
      </c>
      <c r="C178" s="51"/>
    </row>
    <row r="179" spans="1:3" x14ac:dyDescent="0.25">
      <c r="A179" s="54">
        <v>46467</v>
      </c>
      <c r="B179" s="18" t="s">
        <v>48</v>
      </c>
      <c r="C179" s="51"/>
    </row>
    <row r="180" spans="1:3" x14ac:dyDescent="0.25">
      <c r="A180" s="54">
        <v>46471</v>
      </c>
      <c r="B180" s="18" t="s">
        <v>49</v>
      </c>
      <c r="C180" s="51"/>
    </row>
    <row r="181" spans="1:3" x14ac:dyDescent="0.25">
      <c r="A181" s="54">
        <v>46472</v>
      </c>
      <c r="B181" s="18" t="s">
        <v>50</v>
      </c>
      <c r="C181" s="51"/>
    </row>
    <row r="182" spans="1:3" x14ac:dyDescent="0.25">
      <c r="A182" s="54">
        <v>46474</v>
      </c>
      <c r="B182" s="18" t="s">
        <v>51</v>
      </c>
      <c r="C182" s="51"/>
    </row>
    <row r="183" spans="1:3" x14ac:dyDescent="0.25">
      <c r="A183" s="54">
        <v>46475</v>
      </c>
      <c r="B183" s="18" t="s">
        <v>52</v>
      </c>
      <c r="C183" s="51"/>
    </row>
    <row r="184" spans="1:3" x14ac:dyDescent="0.25">
      <c r="A184" s="54">
        <v>46508</v>
      </c>
      <c r="B184" s="18" t="s">
        <v>100</v>
      </c>
      <c r="C184" s="51"/>
    </row>
    <row r="185" spans="1:3" x14ac:dyDescent="0.25">
      <c r="A185" s="54">
        <v>46513</v>
      </c>
      <c r="B185" s="18" t="s">
        <v>54</v>
      </c>
      <c r="C185" s="51"/>
    </row>
    <row r="186" spans="1:3" x14ac:dyDescent="0.25">
      <c r="A186" s="54">
        <v>46523</v>
      </c>
      <c r="B186" s="18" t="s">
        <v>55</v>
      </c>
      <c r="C186" s="51"/>
    </row>
    <row r="187" spans="1:3" x14ac:dyDescent="0.25">
      <c r="A187" s="54">
        <v>46524</v>
      </c>
      <c r="B187" s="31" t="s">
        <v>137</v>
      </c>
      <c r="C187" s="51"/>
    </row>
    <row r="188" spans="1:3" x14ac:dyDescent="0.25">
      <c r="A188" s="54">
        <v>46746</v>
      </c>
      <c r="B188" s="18" t="s">
        <v>57</v>
      </c>
      <c r="C188" s="51"/>
    </row>
    <row r="189" spans="1:3" x14ac:dyDescent="0.25">
      <c r="A189" s="54">
        <v>46747</v>
      </c>
      <c r="B189" s="18" t="s">
        <v>58</v>
      </c>
    </row>
    <row r="190" spans="1:3" x14ac:dyDescent="0.25">
      <c r="A190" s="54">
        <v>46753</v>
      </c>
      <c r="B190" s="18" t="s">
        <v>47</v>
      </c>
    </row>
    <row r="191" spans="1:3" x14ac:dyDescent="0.25">
      <c r="A191" s="54">
        <v>46852</v>
      </c>
      <c r="B191" s="18" t="s">
        <v>48</v>
      </c>
    </row>
    <row r="192" spans="1:3" x14ac:dyDescent="0.25">
      <c r="A192" s="54">
        <v>46856</v>
      </c>
      <c r="B192" s="18" t="s">
        <v>49</v>
      </c>
    </row>
    <row r="193" spans="1:2" x14ac:dyDescent="0.25">
      <c r="A193" s="54">
        <v>46857</v>
      </c>
      <c r="B193" s="18" t="s">
        <v>50</v>
      </c>
    </row>
    <row r="194" spans="1:2" x14ac:dyDescent="0.25">
      <c r="A194" s="54">
        <v>46859</v>
      </c>
      <c r="B194" s="18" t="s">
        <v>51</v>
      </c>
    </row>
    <row r="195" spans="1:2" x14ac:dyDescent="0.25">
      <c r="A195" s="54">
        <v>46860</v>
      </c>
      <c r="B195" s="18" t="s">
        <v>52</v>
      </c>
    </row>
    <row r="196" spans="1:2" x14ac:dyDescent="0.25">
      <c r="A196" s="54">
        <v>46874</v>
      </c>
      <c r="B196" s="18" t="s">
        <v>100</v>
      </c>
    </row>
    <row r="197" spans="1:2" x14ac:dyDescent="0.25">
      <c r="A197" s="54">
        <v>46890</v>
      </c>
      <c r="B197" s="18" t="s">
        <v>53</v>
      </c>
    </row>
    <row r="198" spans="1:2" x14ac:dyDescent="0.25">
      <c r="A198" s="54">
        <v>46898</v>
      </c>
      <c r="B198" s="18" t="s">
        <v>54</v>
      </c>
    </row>
    <row r="199" spans="1:2" x14ac:dyDescent="0.25">
      <c r="A199" s="54">
        <v>46908</v>
      </c>
      <c r="B199" s="18" t="s">
        <v>55</v>
      </c>
    </row>
    <row r="200" spans="1:2" x14ac:dyDescent="0.25">
      <c r="A200" s="54">
        <v>46909</v>
      </c>
      <c r="B200" s="18" t="s">
        <v>56</v>
      </c>
    </row>
    <row r="201" spans="1:2" x14ac:dyDescent="0.25">
      <c r="A201" s="54">
        <v>47112</v>
      </c>
      <c r="B201" s="18" t="s">
        <v>57</v>
      </c>
    </row>
    <row r="202" spans="1:2" x14ac:dyDescent="0.25">
      <c r="A202" s="54">
        <v>47113</v>
      </c>
      <c r="B202" s="18" t="s">
        <v>58</v>
      </c>
    </row>
    <row r="203" spans="1:2" x14ac:dyDescent="0.25">
      <c r="A203" s="18"/>
      <c r="B203" s="18"/>
    </row>
    <row r="204" spans="1:2" x14ac:dyDescent="0.25">
      <c r="A204" s="18"/>
      <c r="B204" s="18"/>
    </row>
    <row r="205" spans="1:2" x14ac:dyDescent="0.25">
      <c r="A205" s="18"/>
      <c r="B205" s="18"/>
    </row>
    <row r="206" spans="1:2" x14ac:dyDescent="0.25">
      <c r="A206" s="18"/>
      <c r="B206" s="18"/>
    </row>
    <row r="207" spans="1:2" x14ac:dyDescent="0.25">
      <c r="A207" s="18"/>
      <c r="B207" s="18"/>
    </row>
    <row r="208" spans="1:2" x14ac:dyDescent="0.25">
      <c r="A208" s="18"/>
      <c r="B208" s="18"/>
    </row>
    <row r="209" spans="1:2" x14ac:dyDescent="0.25">
      <c r="A209" s="18"/>
      <c r="B209" s="18"/>
    </row>
    <row r="210" spans="1:2" x14ac:dyDescent="0.25">
      <c r="A210" s="18"/>
      <c r="B210" s="18"/>
    </row>
    <row r="211" spans="1:2" x14ac:dyDescent="0.25">
      <c r="A211" s="18"/>
      <c r="B211" s="18"/>
    </row>
    <row r="212" spans="1:2" x14ac:dyDescent="0.25">
      <c r="A212" s="18"/>
      <c r="B212" s="18"/>
    </row>
    <row r="213" spans="1:2" x14ac:dyDescent="0.25">
      <c r="A213" s="18"/>
      <c r="B213" s="18"/>
    </row>
    <row r="214" spans="1:2" x14ac:dyDescent="0.25">
      <c r="A214" s="18"/>
      <c r="B214" s="18"/>
    </row>
    <row r="215" spans="1:2" x14ac:dyDescent="0.25">
      <c r="A215" s="18"/>
      <c r="B215" s="18"/>
    </row>
    <row r="216" spans="1:2" x14ac:dyDescent="0.25">
      <c r="A216" s="18"/>
      <c r="B216" s="18"/>
    </row>
    <row r="217" spans="1:2" x14ac:dyDescent="0.25">
      <c r="A217" s="18"/>
      <c r="B217" s="18"/>
    </row>
    <row r="218" spans="1:2" x14ac:dyDescent="0.25">
      <c r="A218" s="18"/>
      <c r="B218" s="18"/>
    </row>
    <row r="219" spans="1:2" x14ac:dyDescent="0.25">
      <c r="A219" s="18"/>
      <c r="B219" s="18"/>
    </row>
    <row r="220" spans="1:2" x14ac:dyDescent="0.25">
      <c r="A220" s="18"/>
      <c r="B220" s="18"/>
    </row>
    <row r="221" spans="1:2" x14ac:dyDescent="0.25">
      <c r="A221" s="18"/>
      <c r="B221" s="18"/>
    </row>
    <row r="222" spans="1:2" x14ac:dyDescent="0.25">
      <c r="A222" s="18"/>
      <c r="B222" s="18"/>
    </row>
    <row r="223" spans="1:2" x14ac:dyDescent="0.25">
      <c r="A223" s="18"/>
      <c r="B223" s="18"/>
    </row>
    <row r="224" spans="1:2" x14ac:dyDescent="0.25">
      <c r="A224" s="18"/>
      <c r="B224" s="18"/>
    </row>
    <row r="225" spans="1:6" x14ac:dyDescent="0.25">
      <c r="A225" s="18"/>
      <c r="B225" s="18"/>
    </row>
    <row r="226" spans="1:6" x14ac:dyDescent="0.25">
      <c r="A226" s="18"/>
      <c r="B226" s="18"/>
    </row>
    <row r="227" spans="1:6" x14ac:dyDescent="0.25">
      <c r="A227" s="18"/>
      <c r="B227" s="18"/>
    </row>
    <row r="228" spans="1:6" x14ac:dyDescent="0.25">
      <c r="A228" s="18"/>
      <c r="B228" s="18"/>
    </row>
    <row r="229" spans="1:6" x14ac:dyDescent="0.25">
      <c r="A229" s="18"/>
      <c r="B229" s="18"/>
    </row>
    <row r="230" spans="1:6" x14ac:dyDescent="0.25">
      <c r="A230" s="18"/>
      <c r="B230" s="18"/>
    </row>
    <row r="231" spans="1:6" x14ac:dyDescent="0.25">
      <c r="A231" s="18"/>
      <c r="B231" s="18"/>
    </row>
    <row r="232" spans="1:6" x14ac:dyDescent="0.25">
      <c r="A232" s="18"/>
      <c r="B232" s="18"/>
    </row>
    <row r="233" spans="1:6" x14ac:dyDescent="0.25">
      <c r="A233" s="18"/>
      <c r="B233" s="18"/>
    </row>
    <row r="234" spans="1:6" x14ac:dyDescent="0.25">
      <c r="A234" s="18"/>
      <c r="B234" s="18"/>
    </row>
    <row r="236" spans="1:6" x14ac:dyDescent="0.25">
      <c r="A236" s="21" t="s">
        <v>59</v>
      </c>
    </row>
    <row r="237" spans="1:6" x14ac:dyDescent="0.25">
      <c r="C237" s="83" t="str">
        <f>B3</f>
        <v>Hovedkontoret</v>
      </c>
      <c r="D237" s="83"/>
      <c r="E237" s="83">
        <f>F3</f>
        <v>0</v>
      </c>
      <c r="F237" s="83"/>
    </row>
    <row r="238" spans="1:6" x14ac:dyDescent="0.25">
      <c r="C238" s="21" t="str">
        <f>B4&amp;" %"</f>
        <v xml:space="preserve"> %</v>
      </c>
      <c r="D238" s="21" t="e">
        <f>37.5/(100/Start!B4)&amp;" Timer"</f>
        <v>#DIV/0!</v>
      </c>
      <c r="E238" s="21" t="str">
        <f>F4&amp;" %"</f>
        <v xml:space="preserve"> %</v>
      </c>
      <c r="F238" s="21" t="e">
        <f>37.5/(100/Start!F4)&amp;" Timer"</f>
        <v>#DIV/0!</v>
      </c>
    </row>
    <row r="239" spans="1:6" x14ac:dyDescent="0.25">
      <c r="C239" s="21" t="s">
        <v>60</v>
      </c>
      <c r="D239" s="21" t="s">
        <v>61</v>
      </c>
      <c r="E239" s="21" t="s">
        <v>60</v>
      </c>
      <c r="F239" s="21" t="s">
        <v>61</v>
      </c>
    </row>
    <row r="240" spans="1:6" x14ac:dyDescent="0.25">
      <c r="A240">
        <v>1</v>
      </c>
      <c r="B240" s="21" t="s">
        <v>62</v>
      </c>
      <c r="C240" t="e">
        <f>37.5/(100/Start!B$4)/5</f>
        <v>#DIV/0!</v>
      </c>
      <c r="D240" s="18" t="e">
        <f t="shared" ref="D240:F246" si="2">C240</f>
        <v>#DIV/0!</v>
      </c>
      <c r="E240" t="e">
        <f>37.5/(100/Start!F$4)/5</f>
        <v>#DIV/0!</v>
      </c>
      <c r="F240" s="18" t="e">
        <f>E240</f>
        <v>#DIV/0!</v>
      </c>
    </row>
    <row r="241" spans="1:6" x14ac:dyDescent="0.25">
      <c r="A241">
        <v>2</v>
      </c>
      <c r="B241" s="21" t="s">
        <v>63</v>
      </c>
      <c r="C241" t="e">
        <f>37.5/(100/Start!B$4)/5</f>
        <v>#DIV/0!</v>
      </c>
      <c r="D241" s="18" t="e">
        <f t="shared" si="2"/>
        <v>#DIV/0!</v>
      </c>
      <c r="E241" t="e">
        <f>37.5/(100/Start!F$4)/5</f>
        <v>#DIV/0!</v>
      </c>
      <c r="F241" s="18" t="e">
        <f t="shared" si="2"/>
        <v>#DIV/0!</v>
      </c>
    </row>
    <row r="242" spans="1:6" x14ac:dyDescent="0.25">
      <c r="A242">
        <v>3</v>
      </c>
      <c r="B242" s="21" t="s">
        <v>64</v>
      </c>
      <c r="C242" t="e">
        <f>37.5/(100/Start!B$4)/5</f>
        <v>#DIV/0!</v>
      </c>
      <c r="D242" s="18" t="e">
        <f t="shared" si="2"/>
        <v>#DIV/0!</v>
      </c>
      <c r="E242" t="e">
        <f>37.5/(100/Start!F$4)/5</f>
        <v>#DIV/0!</v>
      </c>
      <c r="F242" s="18" t="e">
        <f t="shared" si="2"/>
        <v>#DIV/0!</v>
      </c>
    </row>
    <row r="243" spans="1:6" x14ac:dyDescent="0.25">
      <c r="A243">
        <v>4</v>
      </c>
      <c r="B243" s="21" t="s">
        <v>65</v>
      </c>
      <c r="C243" t="e">
        <f>37.5/(100/Start!B$4)/5</f>
        <v>#DIV/0!</v>
      </c>
      <c r="D243" s="18" t="e">
        <f t="shared" si="2"/>
        <v>#DIV/0!</v>
      </c>
      <c r="E243" t="e">
        <f>37.5/(100/Start!F$4)/5</f>
        <v>#DIV/0!</v>
      </c>
      <c r="F243" s="18" t="e">
        <f t="shared" si="2"/>
        <v>#DIV/0!</v>
      </c>
    </row>
    <row r="244" spans="1:6" x14ac:dyDescent="0.25">
      <c r="A244">
        <v>5</v>
      </c>
      <c r="B244" s="21" t="s">
        <v>66</v>
      </c>
      <c r="C244" t="e">
        <f>37.5/(100/Start!B$4)/5</f>
        <v>#DIV/0!</v>
      </c>
      <c r="D244" s="18" t="e">
        <f t="shared" si="2"/>
        <v>#DIV/0!</v>
      </c>
      <c r="E244" t="e">
        <f>37.5/(100/Start!F$4)/5</f>
        <v>#DIV/0!</v>
      </c>
      <c r="F244" s="18" t="e">
        <f t="shared" si="2"/>
        <v>#DIV/0!</v>
      </c>
    </row>
    <row r="245" spans="1:6" x14ac:dyDescent="0.25">
      <c r="A245">
        <v>6</v>
      </c>
      <c r="B245" s="21" t="s">
        <v>67</v>
      </c>
      <c r="D245" s="18">
        <f t="shared" si="2"/>
        <v>0</v>
      </c>
      <c r="F245" s="18">
        <f t="shared" si="2"/>
        <v>0</v>
      </c>
    </row>
    <row r="246" spans="1:6" x14ac:dyDescent="0.25">
      <c r="A246">
        <v>7</v>
      </c>
      <c r="B246" s="21" t="s">
        <v>68</v>
      </c>
      <c r="D246" s="18">
        <f t="shared" si="2"/>
        <v>0</v>
      </c>
      <c r="F246" s="18">
        <f t="shared" si="2"/>
        <v>0</v>
      </c>
    </row>
    <row r="247" spans="1:6" x14ac:dyDescent="0.25">
      <c r="B247" s="21" t="s">
        <v>25</v>
      </c>
      <c r="C247" t="e">
        <f>SUM(C240:C246)</f>
        <v>#DIV/0!</v>
      </c>
      <c r="D247" t="e">
        <f t="shared" ref="D247:F247" si="3">SUM(D240:D246)</f>
        <v>#DIV/0!</v>
      </c>
      <c r="E247" t="e">
        <f t="shared" si="3"/>
        <v>#DIV/0!</v>
      </c>
      <c r="F247" t="e">
        <f t="shared" si="3"/>
        <v>#DIV/0!</v>
      </c>
    </row>
    <row r="248" spans="1:6" x14ac:dyDescent="0.25">
      <c r="C248" s="82" t="e">
        <f>IF(SUM(D240:D246)=37.5/(100/Start!B4),"","Sum timer sammensvarer ikke med stillingsprosent")</f>
        <v>#DIV/0!</v>
      </c>
      <c r="D248" s="82"/>
      <c r="E248" s="82" t="e">
        <f>IF(SUM(F240:F246)=37.5/(100/Start!F4),"","Sum timer sammensvarer ikke med stillingsprosent")</f>
        <v>#DIV/0!</v>
      </c>
      <c r="F248" s="82"/>
    </row>
    <row r="249" spans="1:6" x14ac:dyDescent="0.25">
      <c r="C249" s="82"/>
      <c r="D249" s="82"/>
      <c r="E249" s="82"/>
      <c r="F249" s="82"/>
    </row>
    <row r="250" spans="1:6" x14ac:dyDescent="0.25">
      <c r="A250" s="21" t="s">
        <v>102</v>
      </c>
      <c r="E250" s="66" t="s">
        <v>108</v>
      </c>
    </row>
    <row r="251" spans="1:6" x14ac:dyDescent="0.25">
      <c r="C251" s="21" t="s">
        <v>69</v>
      </c>
      <c r="D251" s="21" t="s">
        <v>70</v>
      </c>
    </row>
    <row r="252" spans="1:6" x14ac:dyDescent="0.25">
      <c r="A252" t="s">
        <v>43</v>
      </c>
      <c r="B252" t="s">
        <v>44</v>
      </c>
      <c r="C252" t="str">
        <f>B3</f>
        <v>Hovedkontoret</v>
      </c>
      <c r="D252">
        <f>F3</f>
        <v>0</v>
      </c>
    </row>
    <row r="253" spans="1:6" x14ac:dyDescent="0.25">
      <c r="A253" s="54">
        <v>46113</v>
      </c>
      <c r="B253" s="31" t="s">
        <v>101</v>
      </c>
      <c r="C253" s="18">
        <v>4</v>
      </c>
      <c r="D253" s="18">
        <v>4</v>
      </c>
      <c r="E253" s="65" t="str">
        <f>IF(A253="","",(VLOOKUP(WEEKDAY(A253,2),$A$240:$B$246,2,FALSE)))</f>
        <v>Onsdag</v>
      </c>
    </row>
    <row r="254" spans="1:6" x14ac:dyDescent="0.25">
      <c r="A254" s="54">
        <v>46380</v>
      </c>
      <c r="B254" s="31" t="s">
        <v>71</v>
      </c>
      <c r="C254" s="18">
        <v>4</v>
      </c>
      <c r="D254" s="18">
        <v>4</v>
      </c>
      <c r="E254" s="65" t="str">
        <f t="shared" ref="E254:E273" si="4">IF(A254="","",(VLOOKUP(WEEKDAY(A254,2),$A$240:$B$246,2,FALSE)))</f>
        <v>Torsdag</v>
      </c>
    </row>
    <row r="255" spans="1:6" x14ac:dyDescent="0.25">
      <c r="A255" s="54">
        <v>46387</v>
      </c>
      <c r="B255" s="18" t="s">
        <v>72</v>
      </c>
      <c r="C255" s="18">
        <v>4</v>
      </c>
      <c r="D255" s="18">
        <v>4</v>
      </c>
      <c r="E255" s="65" t="str">
        <f t="shared" si="4"/>
        <v>Torsdag</v>
      </c>
    </row>
    <row r="256" spans="1:6" x14ac:dyDescent="0.25">
      <c r="A256" s="54">
        <v>46470</v>
      </c>
      <c r="B256" s="31" t="s">
        <v>101</v>
      </c>
      <c r="C256" s="18">
        <v>4</v>
      </c>
      <c r="D256" s="18">
        <v>4</v>
      </c>
      <c r="E256" s="65" t="str">
        <f t="shared" si="4"/>
        <v>Onsdag</v>
      </c>
    </row>
    <row r="257" spans="1:5" x14ac:dyDescent="0.25">
      <c r="A257" s="54">
        <v>46745</v>
      </c>
      <c r="B257" s="31" t="s">
        <v>71</v>
      </c>
      <c r="C257" s="18">
        <v>4</v>
      </c>
      <c r="D257" s="18">
        <v>4</v>
      </c>
      <c r="E257" s="65" t="str">
        <f t="shared" si="4"/>
        <v>Fredag</v>
      </c>
    </row>
    <row r="258" spans="1:5" x14ac:dyDescent="0.25">
      <c r="A258" s="54">
        <v>46752</v>
      </c>
      <c r="B258" s="18" t="s">
        <v>72</v>
      </c>
      <c r="C258" s="18">
        <v>4</v>
      </c>
      <c r="D258" s="18">
        <v>4</v>
      </c>
      <c r="E258" s="65" t="str">
        <f t="shared" si="4"/>
        <v>Fredag</v>
      </c>
    </row>
    <row r="259" spans="1:5" x14ac:dyDescent="0.25">
      <c r="A259" s="54">
        <v>46855</v>
      </c>
      <c r="B259" s="31" t="s">
        <v>101</v>
      </c>
      <c r="C259" s="18">
        <v>4</v>
      </c>
      <c r="D259" s="18">
        <v>4</v>
      </c>
      <c r="E259" s="65" t="str">
        <f t="shared" si="4"/>
        <v>Onsdag</v>
      </c>
    </row>
    <row r="260" spans="1:5" x14ac:dyDescent="0.25">
      <c r="A260" s="54"/>
      <c r="B260" s="31"/>
      <c r="C260" s="18"/>
      <c r="D260" s="18"/>
      <c r="E260" s="65" t="str">
        <f t="shared" si="4"/>
        <v/>
      </c>
    </row>
    <row r="261" spans="1:5" x14ac:dyDescent="0.25">
      <c r="A261" s="54"/>
      <c r="B261" s="18"/>
      <c r="C261" s="18"/>
      <c r="D261" s="18"/>
      <c r="E261" s="65" t="str">
        <f t="shared" si="4"/>
        <v/>
      </c>
    </row>
    <row r="262" spans="1:5" x14ac:dyDescent="0.25">
      <c r="A262" s="54"/>
      <c r="B262" s="31"/>
      <c r="C262" s="18"/>
      <c r="D262" s="18"/>
      <c r="E262" s="65" t="str">
        <f t="shared" si="4"/>
        <v/>
      </c>
    </row>
    <row r="263" spans="1:5" x14ac:dyDescent="0.25">
      <c r="A263" s="54"/>
      <c r="B263" s="18"/>
      <c r="C263" s="18"/>
      <c r="D263" s="18"/>
      <c r="E263" s="65" t="str">
        <f t="shared" si="4"/>
        <v/>
      </c>
    </row>
    <row r="264" spans="1:5" x14ac:dyDescent="0.25">
      <c r="A264" s="54"/>
      <c r="B264" s="18"/>
      <c r="C264" s="18"/>
      <c r="D264" s="18"/>
      <c r="E264" s="65" t="str">
        <f t="shared" si="4"/>
        <v/>
      </c>
    </row>
    <row r="265" spans="1:5" x14ac:dyDescent="0.25">
      <c r="A265" s="54"/>
      <c r="B265" s="18"/>
      <c r="C265" s="18"/>
      <c r="D265" s="18"/>
      <c r="E265" s="65" t="str">
        <f t="shared" si="4"/>
        <v/>
      </c>
    </row>
    <row r="266" spans="1:5" x14ac:dyDescent="0.25">
      <c r="A266" s="54"/>
      <c r="B266" s="31"/>
      <c r="C266" s="18"/>
      <c r="D266" s="18"/>
      <c r="E266" s="65" t="str">
        <f t="shared" si="4"/>
        <v/>
      </c>
    </row>
    <row r="267" spans="1:5" x14ac:dyDescent="0.25">
      <c r="A267" s="54"/>
      <c r="B267" s="31"/>
      <c r="C267" s="18"/>
      <c r="D267" s="18"/>
      <c r="E267" s="65" t="str">
        <f>IF(A267="","",(VLOOKUP(WEEKDAY(A267,2),$A$240:$B$246,2,FALSE)))</f>
        <v/>
      </c>
    </row>
    <row r="268" spans="1:5" x14ac:dyDescent="0.25">
      <c r="A268" s="54"/>
      <c r="B268" s="31"/>
      <c r="C268" s="18"/>
      <c r="D268" s="18"/>
      <c r="E268" s="65" t="str">
        <f t="shared" si="4"/>
        <v/>
      </c>
    </row>
    <row r="269" spans="1:5" x14ac:dyDescent="0.25">
      <c r="A269" s="54"/>
      <c r="B269" s="18"/>
      <c r="C269" s="18"/>
      <c r="D269" s="18"/>
      <c r="E269" s="65" t="str">
        <f t="shared" si="4"/>
        <v/>
      </c>
    </row>
    <row r="270" spans="1:5" x14ac:dyDescent="0.25">
      <c r="A270" s="54"/>
      <c r="B270" s="18"/>
      <c r="C270" s="18"/>
      <c r="D270" s="18"/>
      <c r="E270" s="65" t="str">
        <f t="shared" si="4"/>
        <v/>
      </c>
    </row>
    <row r="271" spans="1:5" x14ac:dyDescent="0.25">
      <c r="A271" s="54"/>
      <c r="B271" s="18"/>
      <c r="C271" s="18"/>
      <c r="D271" s="18"/>
      <c r="E271" s="65" t="str">
        <f t="shared" si="4"/>
        <v/>
      </c>
    </row>
    <row r="272" spans="1:5" x14ac:dyDescent="0.25">
      <c r="A272" s="54"/>
      <c r="B272" s="18"/>
      <c r="C272" s="18"/>
      <c r="D272" s="18"/>
      <c r="E272" s="65" t="str">
        <f t="shared" si="4"/>
        <v/>
      </c>
    </row>
    <row r="273" spans="1:5" x14ac:dyDescent="0.25">
      <c r="A273" s="54"/>
      <c r="B273" s="18"/>
      <c r="C273" s="18"/>
      <c r="D273" s="18"/>
      <c r="E273" s="65" t="str">
        <f t="shared" si="4"/>
        <v/>
      </c>
    </row>
  </sheetData>
  <protectedRanges>
    <protectedRange sqref="H3:H11" name="Område3" securityDescriptor="O:WDG:WDD:(A;;CC;;;WD)"/>
    <protectedRange sqref="F3:F5" name="Område2"/>
    <protectedRange sqref="B2:B5" name="Område1"/>
  </protectedRanges>
  <customSheetViews>
    <customSheetView guid="{8A5310C6-85D3-4EFB-A6FD-BCB4F0103349}" topLeftCell="A4">
      <selection activeCell="H6" sqref="H6"/>
      <pageMargins left="0" right="0" top="0" bottom="0" header="0" footer="0"/>
      <pageSetup paperSize="9" orientation="portrait" r:id="rId1"/>
    </customSheetView>
  </customSheetViews>
  <mergeCells count="8">
    <mergeCell ref="E248:F249"/>
    <mergeCell ref="C248:D249"/>
    <mergeCell ref="C237:D237"/>
    <mergeCell ref="E237:F237"/>
    <mergeCell ref="D3:E3"/>
    <mergeCell ref="D4:E4"/>
    <mergeCell ref="D5:E5"/>
    <mergeCell ref="A9:G10"/>
  </mergeCells>
  <phoneticPr fontId="5" type="noConversion"/>
  <dataValidations count="1">
    <dataValidation type="list" allowBlank="1" showInputMessage="1" showErrorMessage="1" sqref="B6 F6" xr:uid="{CD593CA8-53C5-4CAE-AC25-AA051647768B}">
      <formula1>$K$1:$K$2</formula1>
    </dataValidation>
  </dataValidation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AD649"/>
  <sheetViews>
    <sheetView zoomScaleNormal="100" workbookViewId="0">
      <pane xSplit="7" ySplit="14" topLeftCell="H15" activePane="bottomRight" state="frozen"/>
      <selection pane="topRight" activeCell="H1" sqref="H1"/>
      <selection pane="bottomLeft" activeCell="A14" sqref="A14"/>
      <selection pane="bottomRight" activeCell="B18" sqref="B18"/>
    </sheetView>
  </sheetViews>
  <sheetFormatPr baseColWidth="10" defaultColWidth="11.44140625" defaultRowHeight="13.2" outlineLevelRow="1" outlineLevelCol="2" x14ac:dyDescent="0.25"/>
  <cols>
    <col min="1" max="1" width="5.109375" customWidth="1"/>
    <col min="2" max="2" width="19.44140625" bestFit="1" customWidth="1"/>
    <col min="3" max="3" width="27.77734375" hidden="1" customWidth="1"/>
    <col min="4" max="4" width="15.6640625" hidden="1" customWidth="1"/>
    <col min="5" max="5" width="12.21875" hidden="1" customWidth="1"/>
    <col min="6" max="6" width="5.109375" hidden="1" customWidth="1" outlineLevel="1"/>
    <col min="7" max="7" width="0.109375" customWidth="1" outlineLevel="1"/>
    <col min="8" max="8" width="20.77734375" customWidth="1" outlineLevel="1"/>
    <col min="9" max="10" width="6.5546875" hidden="1" customWidth="1" outlineLevel="2"/>
    <col min="11" max="11" width="6.44140625" hidden="1" customWidth="1" outlineLevel="2"/>
    <col min="12" max="12" width="7.88671875" style="1" customWidth="1" outlineLevel="1" collapsed="1"/>
    <col min="13" max="13" width="3.21875" style="7" customWidth="1"/>
    <col min="14" max="14" width="20.77734375" hidden="1" customWidth="1" outlineLevel="1"/>
    <col min="15" max="15" width="12.6640625" hidden="1" customWidth="1" outlineLevel="1"/>
    <col min="16" max="16" width="2.6640625" customWidth="1" collapsed="1"/>
    <col min="17" max="17" width="34.33203125" hidden="1" customWidth="1" outlineLevel="1"/>
    <col min="18" max="19" width="6.5546875" hidden="1" customWidth="1" outlineLevel="2"/>
    <col min="20" max="20" width="6.44140625" hidden="1" customWidth="1" outlineLevel="2"/>
    <col min="21" max="21" width="9.6640625" hidden="1" customWidth="1" outlineLevel="1"/>
    <col min="22" max="22" width="2.44140625" customWidth="1" collapsed="1"/>
    <col min="23" max="23" width="37" hidden="1" customWidth="1" outlineLevel="1"/>
    <col min="24" max="24" width="13.109375" hidden="1" customWidth="1" outlineLevel="1"/>
    <col min="25" max="25" width="2.6640625" customWidth="1" collapsed="1"/>
    <col min="26" max="29" width="11.44140625" hidden="1" customWidth="1" outlineLevel="1"/>
    <col min="30" max="30" width="11.44140625" collapsed="1"/>
  </cols>
  <sheetData>
    <row r="1" spans="1:29" s="44" customFormat="1" ht="13.8" x14ac:dyDescent="0.25">
      <c r="B1" s="45" t="str">
        <f>"Timeliste "&amp;Start!B2</f>
        <v xml:space="preserve">Timeliste </v>
      </c>
      <c r="C1" s="45"/>
      <c r="D1" s="45"/>
      <c r="E1" s="45"/>
      <c r="F1" s="45"/>
      <c r="G1" s="45"/>
      <c r="H1" s="44" t="str">
        <f>"Faktiske timer "&amp;Start!$B$3</f>
        <v>Faktiske timer Hovedkontoret</v>
      </c>
      <c r="M1" s="46"/>
      <c r="N1" s="44" t="str">
        <f>"Planlagte timer "&amp;Start!$B$3</f>
        <v>Planlagte timer Hovedkontoret</v>
      </c>
      <c r="Q1" s="44" t="str">
        <f>"Faktiske timer "&amp;Start!$F$3</f>
        <v xml:space="preserve">Faktiske timer </v>
      </c>
      <c r="V1" s="46"/>
      <c r="W1" s="44" t="str">
        <f>"Planlagte timer "&amp;Start!$F$3</f>
        <v xml:space="preserve">Planlagte timer </v>
      </c>
    </row>
    <row r="2" spans="1:29" s="2" customFormat="1" ht="13.8" thickBot="1" x14ac:dyDescent="0.3">
      <c r="B2" s="47" t="s">
        <v>73</v>
      </c>
      <c r="C2" s="47"/>
      <c r="D2" s="47"/>
      <c r="E2" s="47"/>
      <c r="F2" s="47"/>
      <c r="G2" s="47"/>
      <c r="H2" s="58" t="e">
        <f>"("&amp;L2/5 &amp;" timer per dag)"</f>
        <v>#DIV/0!</v>
      </c>
      <c r="I2" s="58"/>
      <c r="J2" s="58"/>
      <c r="K2" s="58"/>
      <c r="L2" s="59" t="e">
        <f>37.5/(100/Start!B4)</f>
        <v>#DIV/0!</v>
      </c>
      <c r="M2" s="6"/>
      <c r="Q2" s="58" t="e">
        <f>"("&amp;U2/5 &amp;" timer per dag)"</f>
        <v>#DIV/0!</v>
      </c>
      <c r="R2" s="58"/>
      <c r="S2" s="58"/>
      <c r="T2" s="58"/>
      <c r="U2" s="60" t="e">
        <f>37.5/(100/Start!F4)</f>
        <v>#DIV/0!</v>
      </c>
      <c r="V2" s="6"/>
    </row>
    <row r="3" spans="1:29" s="2" customFormat="1" x14ac:dyDescent="0.25">
      <c r="B3" s="8" t="s">
        <v>74</v>
      </c>
      <c r="C3" s="36"/>
      <c r="D3" s="36"/>
      <c r="E3" s="36"/>
      <c r="F3" s="36"/>
      <c r="G3" s="36"/>
      <c r="H3" s="56" t="s">
        <v>113</v>
      </c>
      <c r="I3" s="56"/>
      <c r="J3" s="56"/>
      <c r="K3" s="56"/>
      <c r="L3" s="28">
        <f ca="1">Start!B25</f>
        <v>0</v>
      </c>
      <c r="M3" s="35"/>
      <c r="N3" s="32" t="s">
        <v>75</v>
      </c>
      <c r="O3" s="28">
        <f>Start!G25</f>
        <v>0</v>
      </c>
      <c r="P3" s="36"/>
      <c r="Q3" s="56" t="s">
        <v>115</v>
      </c>
      <c r="R3" s="56"/>
      <c r="S3" s="56"/>
      <c r="T3" s="56"/>
      <c r="U3" s="28">
        <f ca="1">Start!B43</f>
        <v>0</v>
      </c>
      <c r="V3" s="35"/>
      <c r="W3" s="32" t="s">
        <v>75</v>
      </c>
      <c r="X3" s="28">
        <f>Start!G43</f>
        <v>0</v>
      </c>
    </row>
    <row r="4" spans="1:29" s="2" customFormat="1" x14ac:dyDescent="0.25">
      <c r="B4" s="9"/>
      <c r="H4" s="21" t="s">
        <v>8</v>
      </c>
      <c r="I4" s="21"/>
      <c r="J4" s="21"/>
      <c r="K4" s="21"/>
      <c r="L4" s="29">
        <f ca="1">(COUNTIFS($L13:$L648,"Ferie"))</f>
        <v>0</v>
      </c>
      <c r="M4" s="6"/>
      <c r="N4" s="21" t="s">
        <v>76</v>
      </c>
      <c r="O4" s="29">
        <f>Start!E25</f>
        <v>0</v>
      </c>
      <c r="Q4" s="21" t="s">
        <v>8</v>
      </c>
      <c r="R4" s="21"/>
      <c r="S4" s="21"/>
      <c r="T4" s="21"/>
      <c r="U4" s="29">
        <f ca="1">(COUNTIFS($U14:$U649,"Syk"))</f>
        <v>0</v>
      </c>
      <c r="V4" s="6"/>
      <c r="W4" s="21" t="s">
        <v>76</v>
      </c>
      <c r="X4" s="29">
        <f>Start!E43</f>
        <v>0</v>
      </c>
    </row>
    <row r="5" spans="1:29" s="2" customFormat="1" x14ac:dyDescent="0.25">
      <c r="B5" s="9"/>
      <c r="H5" s="21" t="s">
        <v>9</v>
      </c>
      <c r="I5" s="21"/>
      <c r="J5" s="21"/>
      <c r="K5" s="21"/>
      <c r="L5" s="29">
        <f ca="1">(COUNTIFS($L13:$L648,"Syk"))</f>
        <v>0</v>
      </c>
      <c r="M5" s="6"/>
      <c r="N5" s="21" t="s">
        <v>77</v>
      </c>
      <c r="O5" s="29">
        <f>O4-O3</f>
        <v>0</v>
      </c>
      <c r="Q5" s="21" t="s">
        <v>9</v>
      </c>
      <c r="R5" s="21"/>
      <c r="S5" s="21"/>
      <c r="T5" s="21"/>
      <c r="U5" s="29">
        <f ca="1">(COUNTIFS($U14:$U649,"Syk"))</f>
        <v>0</v>
      </c>
      <c r="V5" s="6"/>
      <c r="W5" s="21" t="s">
        <v>77</v>
      </c>
      <c r="X5" s="29">
        <f>X4-X3</f>
        <v>0</v>
      </c>
    </row>
    <row r="6" spans="1:29" s="2" customFormat="1" ht="13.8" thickBot="1" x14ac:dyDescent="0.3">
      <c r="B6" s="10"/>
      <c r="C6" s="34"/>
      <c r="D6" s="34"/>
      <c r="E6" s="34"/>
      <c r="F6" s="34"/>
      <c r="G6" s="34"/>
      <c r="H6" s="61" t="s">
        <v>112</v>
      </c>
      <c r="I6" s="61"/>
      <c r="J6" s="61"/>
      <c r="K6" s="61"/>
      <c r="L6" s="30">
        <f ca="1">(COUNTIFS($L13:$L648,"Omsorg"))</f>
        <v>0</v>
      </c>
      <c r="M6" s="37"/>
      <c r="N6" s="33"/>
      <c r="O6" s="30"/>
      <c r="P6" s="34"/>
      <c r="Q6" s="61" t="s">
        <v>112</v>
      </c>
      <c r="R6" s="61"/>
      <c r="S6" s="61"/>
      <c r="T6" s="61"/>
      <c r="U6" s="30">
        <f ca="1">(COUNTIFS($U14:$U649,"Omsorg"))</f>
        <v>0</v>
      </c>
      <c r="V6" s="37"/>
      <c r="W6" s="33"/>
      <c r="X6" s="30"/>
    </row>
    <row r="7" spans="1:29" s="2" customFormat="1" hidden="1" outlineLevel="1" x14ac:dyDescent="0.25">
      <c r="B7" s="11" t="s">
        <v>78</v>
      </c>
      <c r="C7" s="52"/>
      <c r="D7" s="52"/>
      <c r="E7" s="52"/>
      <c r="F7" s="52"/>
      <c r="G7" s="52"/>
      <c r="H7" s="56" t="s">
        <v>116</v>
      </c>
      <c r="I7" s="56"/>
      <c r="J7" s="56"/>
      <c r="K7" s="56"/>
      <c r="L7" s="28">
        <f ca="1">SUMIFS(L13:L648,F13:F648,C8,E13:E648,1)-SUMIFS(C13:C648,F13:F648,C8,E13:E648,1)</f>
        <v>0</v>
      </c>
      <c r="M7" s="35"/>
      <c r="N7" s="32" t="s">
        <v>79</v>
      </c>
      <c r="O7" s="28">
        <f ca="1">SUMIFS(O13:O648,F13:F648,C8)</f>
        <v>0</v>
      </c>
      <c r="P7" s="36"/>
      <c r="Q7" s="56" t="s">
        <v>115</v>
      </c>
      <c r="R7" s="56"/>
      <c r="S7" s="56"/>
      <c r="T7" s="56"/>
      <c r="U7" s="28">
        <f ca="1">SUMIFS(U13:U648,F13:F648,C8,E13:E648,1)-SUMIFS(D13:D648,F13:F648,C8,E13:E648,1)</f>
        <v>0</v>
      </c>
      <c r="V7" s="35"/>
      <c r="W7" s="32" t="s">
        <v>79</v>
      </c>
      <c r="X7" s="28">
        <f ca="1">SUMIFS(X13:X648,F13:F648,C8)</f>
        <v>0</v>
      </c>
    </row>
    <row r="8" spans="1:29" s="2" customFormat="1" hidden="1" outlineLevel="1" x14ac:dyDescent="0.25">
      <c r="B8" s="12" t="s">
        <v>41</v>
      </c>
      <c r="C8" s="55">
        <f ca="1">VLOOKUP(B8,Start!A92:B104,2,FALSE)</f>
        <v>12</v>
      </c>
      <c r="D8" s="55"/>
      <c r="E8" s="55"/>
      <c r="F8" s="55"/>
      <c r="G8" s="14"/>
      <c r="H8" s="21" t="s">
        <v>8</v>
      </c>
      <c r="I8" s="21"/>
      <c r="J8" s="21"/>
      <c r="K8" s="21"/>
      <c r="L8" s="29">
        <f ca="1">(COUNTIFS($L13:$L648,"Ferie",F13:F648,$C$8))</f>
        <v>0</v>
      </c>
      <c r="M8" s="6"/>
      <c r="N8" s="21" t="s">
        <v>80</v>
      </c>
      <c r="O8" s="29">
        <f ca="1">L11</f>
        <v>0</v>
      </c>
      <c r="Q8" s="21" t="s">
        <v>8</v>
      </c>
      <c r="R8" s="21"/>
      <c r="S8" s="21"/>
      <c r="T8" s="21"/>
      <c r="U8" s="29">
        <f ca="1">(COUNTIFS($U13:$U648,"Ferie",F13:F648,$C$8))</f>
        <v>0</v>
      </c>
      <c r="V8" s="6"/>
      <c r="W8" s="21" t="s">
        <v>80</v>
      </c>
      <c r="X8" s="29">
        <f ca="1">U11</f>
        <v>0</v>
      </c>
    </row>
    <row r="9" spans="1:29" s="2" customFormat="1" hidden="1" outlineLevel="1" x14ac:dyDescent="0.25">
      <c r="B9" s="12"/>
      <c r="C9" s="55"/>
      <c r="D9" s="55"/>
      <c r="E9" s="55"/>
      <c r="F9" s="55"/>
      <c r="G9" s="14"/>
      <c r="H9" s="21" t="s">
        <v>9</v>
      </c>
      <c r="I9" s="21"/>
      <c r="J9" s="21"/>
      <c r="K9" s="21"/>
      <c r="L9" s="29">
        <f ca="1">(COUNTIFS($L13:$L648,"Syk",F13:F648,$C$8))</f>
        <v>0</v>
      </c>
      <c r="M9" s="6"/>
      <c r="N9" s="21" t="s">
        <v>114</v>
      </c>
      <c r="O9" s="29">
        <f ca="1">O8-O7</f>
        <v>0</v>
      </c>
      <c r="Q9" s="21" t="s">
        <v>9</v>
      </c>
      <c r="R9" s="21"/>
      <c r="S9" s="21"/>
      <c r="T9" s="21"/>
      <c r="U9" s="29">
        <f ca="1">(COUNTIFS($U13:$U648,"Syk",F13:F648,$C$8))</f>
        <v>0</v>
      </c>
      <c r="V9" s="6"/>
      <c r="W9" s="21" t="s">
        <v>114</v>
      </c>
      <c r="X9" s="29">
        <f ca="1">X8-X7</f>
        <v>0</v>
      </c>
    </row>
    <row r="10" spans="1:29" s="2" customFormat="1" hidden="1" outlineLevel="1" x14ac:dyDescent="0.25">
      <c r="B10" s="12"/>
      <c r="C10" s="55"/>
      <c r="D10" s="55"/>
      <c r="E10" s="55"/>
      <c r="F10" s="55"/>
      <c r="G10" s="14"/>
      <c r="H10" s="21" t="s">
        <v>112</v>
      </c>
      <c r="I10" s="21"/>
      <c r="J10" s="21"/>
      <c r="K10" s="21"/>
      <c r="L10" s="29">
        <f ca="1">(COUNTIFS($L13:$L648,"Omsorg",F13:F648,$C$8))</f>
        <v>0</v>
      </c>
      <c r="M10" s="6"/>
      <c r="N10" s="21"/>
      <c r="O10" s="29"/>
      <c r="Q10" s="21" t="s">
        <v>112</v>
      </c>
      <c r="R10" s="21"/>
      <c r="S10" s="21"/>
      <c r="T10" s="21"/>
      <c r="U10" s="29">
        <f ca="1">(COUNTIFS($U13:$U648,"Omsorg",F13:F648,$C$8))</f>
        <v>0</v>
      </c>
      <c r="V10" s="6"/>
      <c r="W10" s="21"/>
      <c r="X10" s="29"/>
    </row>
    <row r="11" spans="1:29" s="2" customFormat="1" hidden="1" outlineLevel="1" x14ac:dyDescent="0.25">
      <c r="B11" s="12"/>
      <c r="C11" s="14"/>
      <c r="D11" s="14"/>
      <c r="E11" s="14"/>
      <c r="F11" s="14"/>
      <c r="G11" s="14"/>
      <c r="H11" s="21" t="s">
        <v>81</v>
      </c>
      <c r="I11" s="21"/>
      <c r="J11" s="21"/>
      <c r="K11" s="21"/>
      <c r="L11" s="29">
        <f ca="1">SUMIFS(C13:C648,F13:F648,$C$8)</f>
        <v>0</v>
      </c>
      <c r="M11" s="6"/>
      <c r="O11" s="26"/>
      <c r="Q11" s="21" t="s">
        <v>81</v>
      </c>
      <c r="R11" s="21"/>
      <c r="S11" s="21"/>
      <c r="T11" s="21"/>
      <c r="U11" s="29">
        <f ca="1">SUMIFS(D13:D648,F13:F648,$C$8)</f>
        <v>0</v>
      </c>
      <c r="V11" s="6"/>
      <c r="X11" s="26"/>
    </row>
    <row r="12" spans="1:29" s="2" customFormat="1" ht="13.8" hidden="1" outlineLevel="1" thickBot="1" x14ac:dyDescent="0.3">
      <c r="B12" s="13"/>
      <c r="C12" s="53"/>
      <c r="D12" s="53"/>
      <c r="E12" s="53"/>
      <c r="F12" s="53"/>
      <c r="G12" s="53"/>
      <c r="H12" s="33" t="s">
        <v>11</v>
      </c>
      <c r="I12" s="33"/>
      <c r="J12" s="33"/>
      <c r="K12" s="33"/>
      <c r="L12" s="30">
        <f ca="1">(SUMIFS(L13:L648,F13:F648,$C$8))</f>
        <v>0</v>
      </c>
      <c r="M12" s="37"/>
      <c r="N12" s="34"/>
      <c r="O12" s="27"/>
      <c r="P12" s="34"/>
      <c r="Q12" s="33" t="s">
        <v>11</v>
      </c>
      <c r="R12" s="33"/>
      <c r="S12" s="33"/>
      <c r="T12" s="33"/>
      <c r="U12" s="30">
        <f ca="1">(SUMIFS(U13:U648,F13:F648,$C$8))</f>
        <v>0</v>
      </c>
      <c r="V12" s="37"/>
      <c r="W12" s="34"/>
      <c r="X12" s="27"/>
    </row>
    <row r="13" spans="1:29" ht="13.5" customHeight="1" collapsed="1" x14ac:dyDescent="0.25">
      <c r="A13" s="62"/>
      <c r="O13" s="2"/>
      <c r="P13" s="2"/>
      <c r="U13" s="1"/>
      <c r="V13" s="7"/>
      <c r="X13" s="2"/>
    </row>
    <row r="14" spans="1:29" s="2" customFormat="1" x14ac:dyDescent="0.25">
      <c r="A14" s="2" t="s">
        <v>82</v>
      </c>
      <c r="B14" s="14" t="s">
        <v>83</v>
      </c>
      <c r="C14" s="14" t="str">
        <f>"Avtalt arbeidstid "&amp;Start!B3</f>
        <v>Avtalt arbeidstid Hovedkontoret</v>
      </c>
      <c r="D14" s="14" t="str">
        <f>"Avtalt arbeidstid "&amp;Start!F3</f>
        <v xml:space="preserve">Avtalt arbeidstid </v>
      </c>
      <c r="E14" s="14" t="s">
        <v>84</v>
      </c>
      <c r="F14" s="14" t="s">
        <v>7</v>
      </c>
      <c r="G14" s="14" t="s">
        <v>85</v>
      </c>
      <c r="H14" s="2" t="s">
        <v>86</v>
      </c>
      <c r="I14" s="2" t="s">
        <v>125</v>
      </c>
      <c r="J14" s="2" t="s">
        <v>126</v>
      </c>
      <c r="K14" s="2" t="s">
        <v>127</v>
      </c>
      <c r="L14" s="3" t="s">
        <v>87</v>
      </c>
      <c r="M14" s="6"/>
      <c r="N14" s="2" t="s">
        <v>88</v>
      </c>
      <c r="O14" s="2" t="s">
        <v>89</v>
      </c>
      <c r="Q14" s="2" t="s">
        <v>86</v>
      </c>
      <c r="R14" s="2" t="s">
        <v>125</v>
      </c>
      <c r="S14" s="2" t="s">
        <v>126</v>
      </c>
      <c r="T14" s="2" t="s">
        <v>127</v>
      </c>
      <c r="U14" s="3" t="s">
        <v>87</v>
      </c>
      <c r="V14" s="6"/>
      <c r="W14" s="2" t="s">
        <v>88</v>
      </c>
      <c r="X14" s="2" t="s">
        <v>89</v>
      </c>
      <c r="Z14" s="2" t="str">
        <f>"TrackingTime overføring i hele timer "&amp;Start!$B$3</f>
        <v>TrackingTime overføring i hele timer Hovedkontoret</v>
      </c>
      <c r="AA14" s="2" t="str">
        <f>"TrackingTime overføring i timer og minutter "&amp;Start!$B$3</f>
        <v>TrackingTime overføring i timer og minutter Hovedkontoret</v>
      </c>
      <c r="AB14" s="2" t="str">
        <f>"TrackingTime overføring i hele timer "&amp;Start!$F$3</f>
        <v xml:space="preserve">TrackingTime overføring i hele timer </v>
      </c>
      <c r="AC14" s="2" t="str">
        <f>"TrackingTime overføring i timer og minutter "&amp;Start!$F$3</f>
        <v xml:space="preserve">TrackingTime overføring i timer og minutter </v>
      </c>
    </row>
    <row r="15" spans="1:29" x14ac:dyDescent="0.25">
      <c r="A15" s="15">
        <f>WEEKNUM(B18,21)</f>
        <v>1</v>
      </c>
      <c r="B15" s="63">
        <f>DATE(Start!$B$1,1,1)-(WEEKDAY(DATE(Start!$B$1,1,1))-2)</f>
        <v>46020</v>
      </c>
      <c r="C15">
        <f>IFERROR(IF(OR(L15="Fri",L15="Ferie",L15="Syk",L15="Omsorg",B15&lt;Start!$B$7),0,IF(IFERROR(MATCH(B15,Start!A$253:A$273,0),0)&gt;0,VLOOKUP(B15,Start!A$253:F$273,3,FALSE)/100*Start!$B$4,VLOOKUP(WEEKDAY(B15,2),Start!A$240:F$246,4,FALSE))),"")</f>
        <v>0</v>
      </c>
      <c r="D15">
        <f>IFERROR(IF(OR(U15="Fri",U15="Ferie",U15="Syk",U15="Omsorg",B15&lt;Start!$F$7),0,IF(IFERROR(MATCH(B15,Start!A$253:A$273,0),0)&gt;0,VLOOKUP(B15,Start!A$253:F$273,3,FALSE)/100*Start!$F$4,VLOOKUP(WEEKDAY(B15,2),Start!A$240:F$246,6,FALSE))),"")</f>
        <v>0</v>
      </c>
      <c r="E15">
        <f ca="1">IF(B15&gt;TODAY(),0,1)</f>
        <v>1</v>
      </c>
      <c r="F15" t="str">
        <f>IFERROR(IF(YEAR(B15)=Start!$B$1,MONTH(B15),""),"")</f>
        <v/>
      </c>
      <c r="G15" s="64" t="str">
        <f>IFERROR(VLOOKUP(B15,Start!A$111:B$273,2,FALSE),"")</f>
        <v/>
      </c>
      <c r="H15" s="21"/>
      <c r="I15" s="78">
        <v>0.33333333333333331</v>
      </c>
      <c r="J15" s="78">
        <v>0.33333333333333331</v>
      </c>
      <c r="K15" s="1" t="str">
        <f>IF(Start!$B$6="Ja","",IF(((J15-I15)*24)&gt;=5.5,"X",""))</f>
        <v/>
      </c>
      <c r="L15" s="1" t="str">
        <f>IF(_xlfn.IFNA(MATCH($A15,Start!$H$3:$H$11,0),0)&gt;0,"Ferie",IFERROR(IF(VLOOKUP(B15,Start!A$165:B$234,2,FALSE)&gt;0,"Fri",0),IF(AND((J15-I15)=0,Z15=""),"",MAX((IF(K15="X",(J15-I15)*24-0.5,(J15-I15)*24)),Z15))))</f>
        <v/>
      </c>
      <c r="M15" s="58"/>
      <c r="N15" s="21" t="str">
        <f t="shared" ref="N15:N21" si="0">IF(H15=0,"",H15)</f>
        <v/>
      </c>
      <c r="O15" s="21" t="str">
        <f t="shared" ref="O15:O21" si="1">IF(L15=0,"",L15)</f>
        <v/>
      </c>
      <c r="P15" s="2"/>
      <c r="Q15" s="21"/>
      <c r="R15" s="78">
        <v>0.33333333333333331</v>
      </c>
      <c r="S15" s="78">
        <v>0.33333333333333331</v>
      </c>
      <c r="T15" s="1" t="str">
        <f>IF(Start!$B$6="Ja","",IF(((S15-R15)*24)&gt;=5.5,"X",""))</f>
        <v/>
      </c>
      <c r="U15" s="1" t="str">
        <f>IF(_xlfn.IFNA(MATCH($A$15,Start!$H$3:$H$11,0),0)&gt;0,"Ferie",(IF(L15="fri","Fri",(IF(L15="syk","Syk",IF(L15="Ferie","Ferie",IF(AND((S15-R15)=0,AB15=""),"",MAX((IF(T15="X",(S15-R15)*24-0.5,(S15-R15)*24)),AB15))))))))</f>
        <v/>
      </c>
      <c r="V15" s="58"/>
      <c r="W15" s="21" t="str">
        <f t="shared" ref="W15:W21" si="2">IF(Q15=0,"",Q15)</f>
        <v/>
      </c>
      <c r="X15" s="21" t="str">
        <f t="shared" ref="X15:X17" si="3">IF(U15=0,"",U15)</f>
        <v/>
      </c>
      <c r="Z15" s="70" t="str">
        <f>IF(SUMIFS(TrackingTime!H:H,TrackingTime!F:F,Timer!B15,TrackingTime!C:C,Start!$B$3)&gt;0,SUMIFS(TrackingTime!H:H,TrackingTime!F:F,Timer!B15,TrackingTime!C:C,Start!$B$3),"")</f>
        <v/>
      </c>
      <c r="AA15" s="71" t="str">
        <f t="shared" ref="AA15:AA78" si="4">IFERROR(Z15/24,"")</f>
        <v/>
      </c>
      <c r="AB15" t="str">
        <f>IF(SUMIFS(TrackingTime!H:H,TrackingTime!F:F,Timer!B15,TrackingTime!C:C,Start!$F$3)&gt;0,SUMIFS(TrackingTime!H:H,TrackingTime!F:F,Timer!B15,TrackingTime!C:C,Start!$F$3),"")</f>
        <v/>
      </c>
      <c r="AC15" s="71" t="str">
        <f>IFERROR(AB15/24,"")</f>
        <v/>
      </c>
    </row>
    <row r="16" spans="1:29" x14ac:dyDescent="0.25">
      <c r="A16" s="15"/>
      <c r="B16" s="63">
        <f>B15+DAY(1)</f>
        <v>46021</v>
      </c>
      <c r="C16">
        <f>IFERROR(IF(OR(L16="Fri",L16="Ferie",L16="Syk",L16="Omsorg",B16&lt;Start!$B$7),0,IF(IFERROR(MATCH(B16,Start!A$253:A$273,0),0)&gt;0,VLOOKUP(B16,Start!A$253:F$273,3,FALSE)/100*Start!$B$4,VLOOKUP(WEEKDAY(B16,2),Start!A$240:F$246,4,FALSE))),"")</f>
        <v>0</v>
      </c>
      <c r="D16">
        <f>IFERROR(IF(OR(U16="Fri",U16="Ferie",U16="Syk",U16="Omsorg",B16&lt;Start!$F$7),0,IF(IFERROR(MATCH(B16,Start!A$253:A$273,0),0)&gt;0,VLOOKUP(B16,Start!A$253:F$273,3,FALSE)/100*Start!$F$4,VLOOKUP(WEEKDAY(B16,2),Start!A$240:F$246,6,FALSE))),"")</f>
        <v>0</v>
      </c>
      <c r="E16">
        <f t="shared" ref="E16:E37" ca="1" si="5">IF(B16&gt;TODAY(),0,1)</f>
        <v>0</v>
      </c>
      <c r="F16" t="str">
        <f>IFERROR(IF(YEAR(B16)=Start!$B$1,MONTH(B16),""),"")</f>
        <v/>
      </c>
      <c r="G16" s="64" t="str">
        <f>IFERROR(VLOOKUP(B16,Start!A$111:B$273,2,FALSE),"")</f>
        <v/>
      </c>
      <c r="H16" s="21"/>
      <c r="I16" s="78">
        <v>0.33333333333333331</v>
      </c>
      <c r="J16" s="78">
        <v>0.33333333333333331</v>
      </c>
      <c r="K16" s="1" t="str">
        <f>IF(Start!$B$6="Ja","",IF(((J16-I16)*24)&gt;=5.5,"X",""))</f>
        <v/>
      </c>
      <c r="L16" s="1" t="str">
        <f>IF(_xlfn.IFNA(MATCH($A15,Start!$H$3:$H$11,0),0)&gt;0,"Ferie",IFERROR(IF(VLOOKUP($B16,Start!$A$165:$B$234,2,FALSE)&gt;0,"Fri",0),IF(AND((J16-I16)=0,Z16=""),"",MAX((IF(K16="X",(J16-I16)*24-0.5,(J16-I16)*24)),Z16))))</f>
        <v/>
      </c>
      <c r="M16" s="58"/>
      <c r="N16" s="21" t="str">
        <f t="shared" si="0"/>
        <v/>
      </c>
      <c r="O16" s="21" t="str">
        <f t="shared" si="1"/>
        <v/>
      </c>
      <c r="P16" s="2"/>
      <c r="Q16" s="21"/>
      <c r="R16" s="78">
        <v>0.33333333333333331</v>
      </c>
      <c r="S16" s="78">
        <v>0.33333333333333331</v>
      </c>
      <c r="T16" s="1" t="str">
        <f>IF(Start!$B$6="Ja","",IF(((S16-R16)*24)&gt;=5.5,"X",""))</f>
        <v/>
      </c>
      <c r="U16" s="1" t="str">
        <f>IF(_xlfn.IFNA(MATCH($A$15,Start!$H$3:$H$11,0),0)&gt;0,"Ferie",(IF(L16="fri","Fri",(IF(L16="syk","Syk",IF(L16="Ferie","Ferie",IF(AND((S16-R16)=0,AB16=""),"",MAX((IF(T16="X",(S16-R16)*24-0.5,(S16-R16)*24)),AB16))))))))</f>
        <v/>
      </c>
      <c r="V16" s="58"/>
      <c r="W16" s="21" t="str">
        <f t="shared" si="2"/>
        <v/>
      </c>
      <c r="X16" s="21" t="str">
        <f t="shared" si="3"/>
        <v/>
      </c>
      <c r="Z16" s="70" t="str">
        <f>IF(SUMIFS(TrackingTime!H:H,TrackingTime!F:F,Timer!B16,TrackingTime!C:C,Start!$B$3)&gt;0,SUMIFS(TrackingTime!H:H,TrackingTime!F:F,Timer!B16,TrackingTime!C:C,Start!$B$3),"")</f>
        <v/>
      </c>
      <c r="AA16" s="71" t="str">
        <f t="shared" si="4"/>
        <v/>
      </c>
      <c r="AB16" t="str">
        <f>IF(SUMIFS(TrackingTime!H:H,TrackingTime!F:F,Timer!B16,TrackingTime!C:C,Start!$F$3)&gt;0,SUMIFS(TrackingTime!H:H,TrackingTime!F:F,Timer!B16,TrackingTime!C:C,Start!$F$3),"")</f>
        <v/>
      </c>
      <c r="AC16" s="71" t="str">
        <f t="shared" ref="AC16:AC79" si="6">IFERROR(AB16/24,"")</f>
        <v/>
      </c>
    </row>
    <row r="17" spans="1:29" x14ac:dyDescent="0.25">
      <c r="A17" s="15"/>
      <c r="B17" s="63">
        <f t="shared" ref="B17:B21" si="7">B16+DAY(1)</f>
        <v>46022</v>
      </c>
      <c r="C17">
        <f>IFERROR(IF(OR(L17="Fri",L17="Ferie",L17="Syk",L17="Omsorg",B17&lt;Start!$B$7),0,IF(IFERROR(MATCH(B17,Start!A$253:A$273,0),0)&gt;0,VLOOKUP(B17,Start!A$253:F$273,3,FALSE)/100*Start!$B$4,VLOOKUP(WEEKDAY(B17,2),Start!A$240:F$246,4,FALSE))),"")</f>
        <v>0</v>
      </c>
      <c r="D17">
        <f>IFERROR(IF(OR(U17="Fri",U17="Ferie",U17="Syk",U17="Omsorg",B17&lt;Start!$F$7),0,IF(IFERROR(MATCH(B17,Start!A$253:A$273,0),0)&gt;0,VLOOKUP(B17,Start!A$253:F$273,3,FALSE)/100*Start!$F$4,VLOOKUP(WEEKDAY(B17,2),Start!A$240:F$246,6,FALSE))),"")</f>
        <v>0</v>
      </c>
      <c r="E17">
        <f t="shared" ca="1" si="5"/>
        <v>0</v>
      </c>
      <c r="F17" t="str">
        <f>IFERROR(IF(YEAR(B17)=Start!$B$1,MONTH(B17),""),"")</f>
        <v/>
      </c>
      <c r="G17" s="64" t="str">
        <f>IFERROR(VLOOKUP(B17,Start!A$111:B$273,2,FALSE),"")</f>
        <v/>
      </c>
      <c r="H17" s="21"/>
      <c r="I17" s="78">
        <v>0.33333333333333331</v>
      </c>
      <c r="J17" s="78">
        <v>0.33333333333333331</v>
      </c>
      <c r="K17" s="1" t="str">
        <f>IF(Start!$B$6="Ja","",IF(((J17-I17)*24)&gt;=5.5,"X",""))</f>
        <v/>
      </c>
      <c r="L17" s="1" t="str">
        <f>IF(_xlfn.IFNA(MATCH($A15,Start!$H$3:$H$11,0),0)&gt;0,"Ferie",IFERROR(IF(VLOOKUP(B17,Start!A$165:B$234,2,FALSE)&gt;0,"Fri",0),IF(AND((J17-I17)=0,Z17=""),"",MAX((IF(K17="X",(J17-I17)*24-0.5,(J17-I17)*24)),Z17))))</f>
        <v/>
      </c>
      <c r="M17" s="58"/>
      <c r="N17" s="21" t="str">
        <f t="shared" si="0"/>
        <v/>
      </c>
      <c r="O17" s="21" t="str">
        <f t="shared" si="1"/>
        <v/>
      </c>
      <c r="P17" s="2"/>
      <c r="Q17" s="21"/>
      <c r="R17" s="78">
        <v>0.33333333333333331</v>
      </c>
      <c r="S17" s="78">
        <v>0.33333333333333331</v>
      </c>
      <c r="T17" s="1" t="str">
        <f>IF(Start!$B$6="Ja","",IF(((S17-R17)*24)&gt;=5.5,"X",""))</f>
        <v/>
      </c>
      <c r="U17" s="1" t="str">
        <f>IF(_xlfn.IFNA(MATCH($A$15,Start!$H$3:$H$11,0),0)&gt;0,"Ferie",(IF(L17="fri","Fri",(IF(L17="syk","Syk",IF(L17="Ferie","Ferie",IF(AND((S17-R17)=0,AB17=""),"",MAX((IF(T17="X",(S17-R17)*24-0.5,(S17-R17)*24)),AB17))))))))</f>
        <v/>
      </c>
      <c r="V17" s="58"/>
      <c r="W17" s="21" t="str">
        <f t="shared" si="2"/>
        <v/>
      </c>
      <c r="X17" s="21" t="str">
        <f t="shared" si="3"/>
        <v/>
      </c>
      <c r="Z17" s="70" t="str">
        <f>IF(SUMIFS(TrackingTime!H:H,TrackingTime!F:F,Timer!B17,TrackingTime!C:C,Start!$B$3)&gt;0,SUMIFS(TrackingTime!H:H,TrackingTime!F:F,Timer!B17,TrackingTime!C:C,Start!$B$3),"")</f>
        <v/>
      </c>
      <c r="AA17" s="71" t="str">
        <f t="shared" si="4"/>
        <v/>
      </c>
      <c r="AB17" t="str">
        <f>IF(SUMIFS(TrackingTime!H:H,TrackingTime!F:F,Timer!B17,TrackingTime!C:C,Start!$F$3)&gt;0,SUMIFS(TrackingTime!H:H,TrackingTime!F:F,Timer!B17,TrackingTime!C:C,Start!$F$3),"")</f>
        <v/>
      </c>
      <c r="AC17" s="71" t="str">
        <f t="shared" si="6"/>
        <v/>
      </c>
    </row>
    <row r="18" spans="1:29" x14ac:dyDescent="0.25">
      <c r="A18" s="15"/>
      <c r="B18" s="63">
        <f t="shared" si="7"/>
        <v>46023</v>
      </c>
      <c r="C18">
        <f>IFERROR(IF(OR(L18="Fri",L18="Ferie",L18="Syk",L18="Omsorg",B18&lt;Start!$B$7),0,IF(IFERROR(MATCH(B18,Start!A$253:A$273,0),0)&gt;0,VLOOKUP(B18,Start!A$253:F$273,3,FALSE)/100*Start!$B$4,VLOOKUP(WEEKDAY(B18,2),Start!A$240:F$246,4,FALSE))),"")</f>
        <v>0</v>
      </c>
      <c r="D18">
        <f>IFERROR(IF(OR(U18="Fri",U18="Ferie",U18="Syk",U18="Omsorg",B18&lt;Start!$F$7),0,IF(IFERROR(MATCH(B18,Start!A$253:A$273,0),0)&gt;0,VLOOKUP(B18,Start!A$253:F$273,3,FALSE)/100*Start!$F$4,VLOOKUP(WEEKDAY(B18,2),Start!A$240:F$246,6,FALSE))),"")</f>
        <v>0</v>
      </c>
      <c r="E18">
        <f t="shared" ca="1" si="5"/>
        <v>0</v>
      </c>
      <c r="F18">
        <f>IFERROR(IF(YEAR(B18)=Start!$B$1,MONTH(B18),""),"")</f>
        <v>1</v>
      </c>
      <c r="G18" s="64" t="str">
        <f>IFERROR(VLOOKUP(B18,Start!A$111:B$273,2,FALSE),"")</f>
        <v>1. nyttårsdag</v>
      </c>
      <c r="H18" s="21"/>
      <c r="I18" s="78">
        <v>0.33333333333333331</v>
      </c>
      <c r="J18" s="78">
        <v>0.33333333333333331</v>
      </c>
      <c r="K18" s="1" t="str">
        <f>IF(Start!$B$6="Ja","",IF(((J18-I18)*24)&gt;=5.5,"X",""))</f>
        <v/>
      </c>
      <c r="L18" s="1" t="str">
        <f>IF(_xlfn.IFNA(MATCH($A15,Start!$H$3:$H$11,0),0)&gt;0,"Ferie",IFERROR(IF(VLOOKUP(B18,Start!A$165:B$234,2,FALSE)&gt;0,"Fri",0),IF(AND((J18-I18)=0,Z18=""),"",MAX((IF(K18="X",(J18-I18)*24-0.5,(J18-I18)*24)),Z18))))</f>
        <v>Fri</v>
      </c>
      <c r="M18" s="58"/>
      <c r="N18" s="21" t="str">
        <f t="shared" si="0"/>
        <v/>
      </c>
      <c r="O18" s="21" t="str">
        <f t="shared" si="1"/>
        <v>Fri</v>
      </c>
      <c r="P18" s="2"/>
      <c r="Q18" s="21"/>
      <c r="R18" s="78">
        <v>0.33333333333333331</v>
      </c>
      <c r="S18" s="78">
        <v>0.33333333333333331</v>
      </c>
      <c r="T18" s="1" t="str">
        <f>IF(Start!$B$6="Ja","",IF(((S18-R18)*24)&gt;=5.5,"X",""))</f>
        <v/>
      </c>
      <c r="U18" s="1" t="str">
        <f>IF(_xlfn.IFNA(MATCH($A$15,Start!$H$3:$H$11,0),0)&gt;0,"Ferie",(IF(L18="fri","Fri",(IF(L18="syk","Syk",IF(L18="Ferie","Ferie",IF(AND((S18-R18)=0,AB18=""),"",MAX((IF(T18="X",(S18-R18)*24-0.5,(S18-R18)*24)),AB18))))))))</f>
        <v>Fri</v>
      </c>
      <c r="V18" s="58"/>
      <c r="W18" s="21" t="str">
        <f t="shared" si="2"/>
        <v/>
      </c>
      <c r="X18" s="21"/>
      <c r="Z18" s="70" t="str">
        <f>IF(SUMIFS(TrackingTime!H:H,TrackingTime!F:F,Timer!B18,TrackingTime!C:C,Start!$B$3)&gt;0,SUMIFS(TrackingTime!H:H,TrackingTime!F:F,Timer!B18,TrackingTime!C:C,Start!$B$3),"")</f>
        <v/>
      </c>
      <c r="AA18" s="71" t="str">
        <f t="shared" si="4"/>
        <v/>
      </c>
      <c r="AB18" t="str">
        <f>IF(SUMIFS(TrackingTime!H:H,TrackingTime!F:F,Timer!B18,TrackingTime!C:C,Start!$F$3)&gt;0,SUMIFS(TrackingTime!H:H,TrackingTime!F:F,Timer!B18,TrackingTime!C:C,Start!$F$3),"")</f>
        <v/>
      </c>
      <c r="AC18" s="71" t="str">
        <f t="shared" si="6"/>
        <v/>
      </c>
    </row>
    <row r="19" spans="1:29" x14ac:dyDescent="0.25">
      <c r="A19" s="15"/>
      <c r="B19" s="63">
        <f t="shared" si="7"/>
        <v>46024</v>
      </c>
      <c r="C19" t="str">
        <f>IFERROR(IF(OR(L19="Fri",L19="Ferie",L19="Syk",L19="Omsorg",B19&lt;Start!$B$7),0,IF(IFERROR(MATCH(B19,Start!A$253:A$273,0),0)&gt;0,VLOOKUP(B19,Start!A$253:F$273,3,FALSE)/100*Start!$B$4,VLOOKUP(WEEKDAY(B19,2),Start!A$240:F$246,4,FALSE))),"")</f>
        <v/>
      </c>
      <c r="D19" t="str">
        <f>IFERROR(IF(OR(U19="Fri",U19="Ferie",U19="Syk",U19="Omsorg",B19&lt;Start!$F$7),0,IF(IFERROR(MATCH(B19,Start!A$253:A$273,0),0)&gt;0,VLOOKUP(B19,Start!A$253:F$273,3,FALSE)/100*Start!$F$4,VLOOKUP(WEEKDAY(B19,2),Start!A$240:F$246,6,FALSE))),"")</f>
        <v/>
      </c>
      <c r="E19">
        <f t="shared" ca="1" si="5"/>
        <v>0</v>
      </c>
      <c r="F19">
        <f>IFERROR(IF(YEAR(B19)=Start!$B$1,MONTH(B19),""),"")</f>
        <v>1</v>
      </c>
      <c r="G19" s="64" t="str">
        <f>IFERROR(VLOOKUP(B19,Start!A$111:B$273,2,FALSE),"")</f>
        <v/>
      </c>
      <c r="H19" s="21"/>
      <c r="I19" s="78">
        <v>0.33333333333333331</v>
      </c>
      <c r="J19" s="78">
        <v>0.33333333333333331</v>
      </c>
      <c r="K19" s="1" t="str">
        <f>IF(Start!$B$6="Ja","",IF(((J19-I19)*24)&gt;=5.5,"X",""))</f>
        <v/>
      </c>
      <c r="L19" s="1" t="str">
        <f>IF(_xlfn.IFNA(MATCH($A15,Start!$H$3:$H$11,0),0)&gt;0,"Ferie",IFERROR(IF(VLOOKUP(B19,Start!A$165:B$234,2,FALSE)&gt;0,"Fri",0),IF(AND((J19-I19)=0,Z19=""),"",MAX((IF(K19="X",(J19-I19)*24-0.5,(J19-I19)*24)),Z19))))</f>
        <v/>
      </c>
      <c r="M19" s="58"/>
      <c r="N19" s="21" t="str">
        <f t="shared" si="0"/>
        <v/>
      </c>
      <c r="O19" s="21" t="str">
        <f t="shared" si="1"/>
        <v/>
      </c>
      <c r="P19" s="2"/>
      <c r="Q19" s="21"/>
      <c r="R19" s="78">
        <v>0.33333333333333331</v>
      </c>
      <c r="S19" s="78">
        <v>0.33333333333333331</v>
      </c>
      <c r="T19" s="1" t="str">
        <f>IF(Start!$B$6="Ja","",IF(((S19-R19)*24)&gt;=5.5,"X",""))</f>
        <v/>
      </c>
      <c r="U19" s="1" t="str">
        <f>IF(_xlfn.IFNA(MATCH($A$15,Start!$H$3:$H$11,0),0)&gt;0,"Ferie",(IF(L19="fri","Fri",(IF(L19="syk","Syk",IF(L19="Ferie","Ferie",IF(AND((S19-R19)=0,AB19=""),"",MAX((IF(T19="X",(S19-R19)*24-0.5,(S19-R19)*24)),AB19))))))))</f>
        <v/>
      </c>
      <c r="V19" s="58"/>
      <c r="W19" s="21" t="str">
        <f t="shared" si="2"/>
        <v/>
      </c>
      <c r="X19" s="21" t="str">
        <f>IF(U19=0,"",U19)</f>
        <v/>
      </c>
      <c r="Z19" s="70" t="str">
        <f>IF(SUMIFS(TrackingTime!H:H,TrackingTime!F:F,Timer!B19,TrackingTime!C:C,Start!$B$3)&gt;0,SUMIFS(TrackingTime!H:H,TrackingTime!F:F,Timer!B19,TrackingTime!C:C,Start!$B$3),"")</f>
        <v/>
      </c>
      <c r="AA19" s="71" t="str">
        <f t="shared" si="4"/>
        <v/>
      </c>
      <c r="AB19" t="str">
        <f>IF(SUMIFS(TrackingTime!H:H,TrackingTime!F:F,Timer!B19,TrackingTime!C:C,Start!$F$3)&gt;0,SUMIFS(TrackingTime!H:H,TrackingTime!F:F,Timer!B19,TrackingTime!C:C,Start!$F$3),"")</f>
        <v/>
      </c>
      <c r="AC19" s="71" t="str">
        <f t="shared" si="6"/>
        <v/>
      </c>
    </row>
    <row r="20" spans="1:29" x14ac:dyDescent="0.25">
      <c r="A20" s="15"/>
      <c r="B20" s="63">
        <f t="shared" si="7"/>
        <v>46025</v>
      </c>
      <c r="C20">
        <f>IFERROR(IF(OR(L20="Fri",L20="Ferie",L20="Syk",L20="Omsorg",B20&lt;Start!$B$7),0,IF(IFERROR(MATCH(B20,Start!A$253:A$273,0),0)&gt;0,VLOOKUP(B20,Start!A$253:F$273,3,FALSE)/100*Start!$B$4,VLOOKUP(WEEKDAY(B20,2),Start!A$240:F$246,4,FALSE))),"")</f>
        <v>0</v>
      </c>
      <c r="D20">
        <f>IFERROR(IF(OR(U20="Fri",U20="Ferie",U20="Syk",U20="Omsorg",B20&lt;Start!$F$7),0,IF(IFERROR(MATCH(B20,Start!A$253:A$273,0),0)&gt;0,VLOOKUP(B20,Start!A$253:F$273,3,FALSE)/100*Start!$F$4,VLOOKUP(WEEKDAY(B20,2),Start!A$240:F$246,6,FALSE))),"")</f>
        <v>0</v>
      </c>
      <c r="E20">
        <f t="shared" ca="1" si="5"/>
        <v>0</v>
      </c>
      <c r="F20">
        <f>IFERROR(IF(YEAR(B20)=Start!$B$1,MONTH(B20),""),"")</f>
        <v>1</v>
      </c>
      <c r="G20" s="64" t="str">
        <f>IFERROR(VLOOKUP(B20,Start!A$111:B$273,2,FALSE),"")</f>
        <v/>
      </c>
      <c r="H20" s="21"/>
      <c r="I20" s="78">
        <v>0.41666666666666669</v>
      </c>
      <c r="J20" s="78">
        <v>0.41666666666666669</v>
      </c>
      <c r="K20" s="1" t="str">
        <f>IF(Start!$B$6="Ja","",IF(((J20-I20)*24)&gt;=5.5,"X",""))</f>
        <v/>
      </c>
      <c r="L20" s="1" t="str">
        <f t="shared" ref="L20:L21" si="8">IF(AND((J20-I20)=0,Z20=""),"",MAX((IF(K20="X",(J20-I20)*24-0.5,(J20-I20)*24)),Z20))</f>
        <v/>
      </c>
      <c r="M20" s="58"/>
      <c r="N20" s="21" t="str">
        <f t="shared" si="0"/>
        <v/>
      </c>
      <c r="O20" s="21" t="str">
        <f t="shared" si="1"/>
        <v/>
      </c>
      <c r="P20" s="2"/>
      <c r="Q20" s="21"/>
      <c r="R20" s="78">
        <v>0.41666666666666669</v>
      </c>
      <c r="S20" s="78">
        <v>0.41666666666666669</v>
      </c>
      <c r="T20" s="1" t="str">
        <f>IF(Start!$B$6="Ja","",IF(((S20-R20)*24)&gt;=5.5,"X",""))</f>
        <v/>
      </c>
      <c r="U20" s="1" t="str">
        <f>IF(AND((S20-R20)=0,AB20=""),"",MAX((IF(T20="X",(S20-R20)*24-0.5,(S20-R20)*24)),AB20))</f>
        <v/>
      </c>
      <c r="V20" s="58"/>
      <c r="W20" s="21" t="str">
        <f t="shared" si="2"/>
        <v/>
      </c>
      <c r="X20" s="21" t="str">
        <f>IF(U20=0,"",U20)</f>
        <v/>
      </c>
      <c r="Z20" s="70" t="str">
        <f>IF(SUMIFS(TrackingTime!H:H,TrackingTime!F:F,Timer!B20,TrackingTime!C:C,Start!$B$3)&gt;0,SUMIFS(TrackingTime!H:H,TrackingTime!F:F,Timer!B20,TrackingTime!C:C,Start!$B$3),"")</f>
        <v/>
      </c>
      <c r="AA20" s="71" t="str">
        <f t="shared" si="4"/>
        <v/>
      </c>
      <c r="AB20" t="str">
        <f>IF(SUMIFS(TrackingTime!H:H,TrackingTime!F:F,Timer!B20,TrackingTime!C:C,Start!$F$3)&gt;0,SUMIFS(TrackingTime!H:H,TrackingTime!F:F,Timer!B20,TrackingTime!C:C,Start!$F$3),"")</f>
        <v/>
      </c>
      <c r="AC20" s="71" t="str">
        <f t="shared" si="6"/>
        <v/>
      </c>
    </row>
    <row r="21" spans="1:29" x14ac:dyDescent="0.25">
      <c r="A21" s="15"/>
      <c r="B21" s="63">
        <f t="shared" si="7"/>
        <v>46026</v>
      </c>
      <c r="C21">
        <f>IFERROR(IF(OR(L21="Fri",L21="Ferie",L21="Syk",L21="Omsorg",B21&lt;Start!$B$7),0,IF(IFERROR(MATCH(B21,Start!A$253:A$273,0),0)&gt;0,VLOOKUP(B21,Start!A$253:F$273,3,FALSE)/100*Start!$B$4,VLOOKUP(WEEKDAY(B21,2),Start!A$240:F$246,4,FALSE))),"")</f>
        <v>0</v>
      </c>
      <c r="D21">
        <f>IFERROR(IF(OR(U21="Fri",U21="Ferie",U21="Syk",U21="Omsorg",B21&lt;Start!$F$7),0,IF(IFERROR(MATCH(B21,Start!A$253:A$273,0),0)&gt;0,VLOOKUP(B21,Start!A$253:F$273,3,FALSE)/100*Start!$F$4,VLOOKUP(WEEKDAY(B21,2),Start!A$240:F$246,6,FALSE))),"")</f>
        <v>0</v>
      </c>
      <c r="E21">
        <f t="shared" ca="1" si="5"/>
        <v>0</v>
      </c>
      <c r="F21">
        <f>IFERROR(IF(YEAR(B21)=Start!$B$1,MONTH(B21),""),"")</f>
        <v>1</v>
      </c>
      <c r="G21" s="64" t="str">
        <f>IFERROR(VLOOKUP(B21,Start!A$111:B$273,2,FALSE),"")</f>
        <v/>
      </c>
      <c r="H21" s="25"/>
      <c r="I21" s="78">
        <v>0.41666666666666669</v>
      </c>
      <c r="J21" s="78">
        <v>0.41666666666666669</v>
      </c>
      <c r="K21" s="1" t="str">
        <f>IF(Start!$B$6="Ja","",IF(((J21-I21)*24)&gt;=5.5,"X",""))</f>
        <v/>
      </c>
      <c r="L21" s="1" t="str">
        <f t="shared" si="8"/>
        <v/>
      </c>
      <c r="M21" s="58"/>
      <c r="N21" s="21" t="str">
        <f t="shared" si="0"/>
        <v/>
      </c>
      <c r="O21" s="21" t="str">
        <f t="shared" si="1"/>
        <v/>
      </c>
      <c r="Q21" s="25"/>
      <c r="R21" s="78">
        <v>0.41666666666666669</v>
      </c>
      <c r="S21" s="78">
        <v>0.41666666666666669</v>
      </c>
      <c r="T21" s="1" t="str">
        <f>IF(Start!$B$6="Ja","",IF(((S21-R21)*24)&gt;=5.5,"X",""))</f>
        <v/>
      </c>
      <c r="U21" s="1" t="str">
        <f>IF(AND((S21-R21)=0,AB21=""),"",MAX((IF(T21="X",(S21-R21)*24-0.5,(S21-R21)*24)),AB21))</f>
        <v/>
      </c>
      <c r="V21" s="58"/>
      <c r="W21" s="21" t="str">
        <f t="shared" si="2"/>
        <v/>
      </c>
      <c r="X21" s="21" t="str">
        <f>IF(U21=0,"",U21)</f>
        <v/>
      </c>
      <c r="Z21" s="70" t="str">
        <f>IF(SUMIFS(TrackingTime!H:H,TrackingTime!F:F,Timer!B21,TrackingTime!C:C,Start!$B$3)&gt;0,SUMIFS(TrackingTime!H:H,TrackingTime!F:F,Timer!B21,TrackingTime!C:C,Start!$B$3),"")</f>
        <v/>
      </c>
      <c r="AA21" s="71" t="str">
        <f t="shared" si="4"/>
        <v/>
      </c>
      <c r="AB21" t="str">
        <f>IF(SUMIFS(TrackingTime!H:H,TrackingTime!F:F,Timer!B21,TrackingTime!C:C,Start!$F$3)&gt;0,SUMIFS(TrackingTime!H:H,TrackingTime!F:F,Timer!B21,TrackingTime!C:C,Start!$F$3),"")</f>
        <v/>
      </c>
      <c r="AC21" s="71" t="str">
        <f t="shared" si="6"/>
        <v/>
      </c>
    </row>
    <row r="22" spans="1:29" x14ac:dyDescent="0.25">
      <c r="A22" s="15"/>
      <c r="B22" s="4" t="s">
        <v>11</v>
      </c>
      <c r="C22" s="24"/>
      <c r="D22" s="24"/>
      <c r="E22" s="24">
        <f t="shared" ca="1" si="5"/>
        <v>0</v>
      </c>
      <c r="F22" s="24" t="str">
        <f>IFERROR(IF(YEAR(B22)=Start!$B$1,MONTH(B22),""),"")</f>
        <v/>
      </c>
      <c r="G22" s="64" t="str">
        <f>IFERROR(VLOOKUP(B22,Start!A$111:B$273,2,FALSE),"")</f>
        <v/>
      </c>
      <c r="H22" s="4"/>
      <c r="I22" s="4"/>
      <c r="J22" s="4"/>
      <c r="K22" s="4"/>
      <c r="L22" s="5">
        <f t="shared" ref="L22:L82" si="9">SUM($L15:$L21)</f>
        <v>0</v>
      </c>
      <c r="N22" s="24"/>
      <c r="O22" s="39">
        <f>SUM(O15:O21)</f>
        <v>0</v>
      </c>
      <c r="P22" s="40"/>
      <c r="Q22" s="41"/>
      <c r="R22" s="4"/>
      <c r="S22" s="4"/>
      <c r="T22" s="4"/>
      <c r="U22" s="5">
        <f>SUM($U15:$U21)</f>
        <v>0</v>
      </c>
      <c r="V22" s="58"/>
      <c r="W22" s="39"/>
      <c r="X22" s="39">
        <f>SUM(X15:X21)</f>
        <v>0</v>
      </c>
      <c r="Z22" s="70" t="str">
        <f>IF(SUMIFS(TrackingTime!H:H,TrackingTime!F:F,Timer!B22,TrackingTime!C:C,Start!$B$3)&gt;0,SUMIFS(TrackingTime!H:H,TrackingTime!F:F,Timer!B22,TrackingTime!C:C,Start!$B$3),"")</f>
        <v/>
      </c>
      <c r="AA22" s="71" t="str">
        <f t="shared" si="4"/>
        <v/>
      </c>
      <c r="AB22" t="str">
        <f>IF(SUMIFS(TrackingTime!H:H,TrackingTime!F:F,Timer!B22,TrackingTime!C:C,Start!$F$3)&gt;0,SUMIFS(TrackingTime!H:H,TrackingTime!F:F,Timer!B22,TrackingTime!C:C,Start!$F$3),"")</f>
        <v/>
      </c>
      <c r="AC22" s="71" t="str">
        <f t="shared" si="6"/>
        <v/>
      </c>
    </row>
    <row r="23" spans="1:29" x14ac:dyDescent="0.25">
      <c r="A23" s="15"/>
      <c r="B23" t="s">
        <v>90</v>
      </c>
      <c r="E23">
        <f t="shared" ca="1" si="5"/>
        <v>0</v>
      </c>
      <c r="F23" t="str">
        <f>IFERROR(IF(YEAR(B23)=Start!$B$1,MONTH(B23),""),"")</f>
        <v/>
      </c>
      <c r="G23" s="64" t="str">
        <f>IFERROR(VLOOKUP(B23,Start!A$111:B$273,2,FALSE),"")</f>
        <v/>
      </c>
      <c r="L23" s="1">
        <f t="shared" ref="L23:L83" si="10">SUMIFS(C15:C21,F15:F21,"&gt;0")</f>
        <v>0</v>
      </c>
      <c r="M23" s="1"/>
      <c r="N23" s="1"/>
      <c r="O23" s="21">
        <f>L23</f>
        <v>0</v>
      </c>
      <c r="P23" s="40"/>
      <c r="Q23" s="21"/>
      <c r="U23" s="1">
        <f>SUMIFS(D15:D21,F15:F21,"&gt;0")</f>
        <v>0</v>
      </c>
      <c r="V23" s="1"/>
      <c r="W23" s="1"/>
      <c r="X23" s="21">
        <f>U23</f>
        <v>0</v>
      </c>
      <c r="Z23" s="70" t="str">
        <f>IF(SUMIFS(TrackingTime!H:H,TrackingTime!F:F,Timer!B23,TrackingTime!C:C,Start!$B$3)&gt;0,SUMIFS(TrackingTime!H:H,TrackingTime!F:F,Timer!B23,TrackingTime!C:C,Start!$B$3),"")</f>
        <v/>
      </c>
      <c r="AA23" s="71" t="str">
        <f t="shared" si="4"/>
        <v/>
      </c>
      <c r="AB23" t="str">
        <f>IF(SUMIFS(TrackingTime!H:H,TrackingTime!F:F,Timer!B23,TrackingTime!C:C,Start!$F$3)&gt;0,SUMIFS(TrackingTime!H:H,TrackingTime!F:F,Timer!B23,TrackingTime!C:C,Start!$F$3),"")</f>
        <v/>
      </c>
      <c r="AC23" s="71" t="str">
        <f t="shared" si="6"/>
        <v/>
      </c>
    </row>
    <row r="24" spans="1:29" x14ac:dyDescent="0.25">
      <c r="A24" s="16">
        <f>B21-B15-1</f>
        <v>5</v>
      </c>
      <c r="B24" t="s">
        <v>117</v>
      </c>
      <c r="E24">
        <f t="shared" ca="1" si="5"/>
        <v>0</v>
      </c>
      <c r="F24" t="str">
        <f>IFERROR(IF(YEAR(B24)=Start!$B$1,MONTH(B24),""),"")</f>
        <v/>
      </c>
      <c r="G24" s="64" t="str">
        <f>IFERROR(VLOOKUP(B24,Start!A$111:B$273,2,FALSE),"")</f>
        <v/>
      </c>
      <c r="L24" s="77">
        <f t="shared" ref="L24:L84" ca="1" si="11">L22-L23*(IF(NETWORKDAYS($B15,TODAY())&lt;0,0,IF(NETWORKDAYS($B15,TODAY())&lt;=$A24,NETWORKDAYS($B15,TODAY()),$A24)))/$A24</f>
        <v>0</v>
      </c>
      <c r="O24" s="21">
        <f>O22-O23</f>
        <v>0</v>
      </c>
      <c r="P24" s="21"/>
      <c r="Q24" s="21"/>
      <c r="U24" s="1">
        <f ca="1">U22-U23*(IF(NETWORKDAYS($B15,TODAY())&lt;0,0,IF(NETWORKDAYS($B15,TODAY())&lt;=$A24,NETWORKDAYS($B15,TODAY()),$A24)))/$A24</f>
        <v>0</v>
      </c>
      <c r="V24" s="58"/>
      <c r="W24" s="21"/>
      <c r="X24" s="21">
        <f>X22-X23</f>
        <v>0</v>
      </c>
      <c r="Z24" s="70" t="str">
        <f>IF(SUMIFS(TrackingTime!H:H,TrackingTime!F:F,Timer!B24,TrackingTime!C:C,Start!$B$3)&gt;0,SUMIFS(TrackingTime!H:H,TrackingTime!F:F,Timer!B24,TrackingTime!C:C,Start!$B$3),"")</f>
        <v/>
      </c>
      <c r="AA24" s="71" t="str">
        <f t="shared" si="4"/>
        <v/>
      </c>
      <c r="AB24" t="str">
        <f>IF(SUMIFS(TrackingTime!H:H,TrackingTime!F:F,Timer!B24,TrackingTime!C:C,Start!$F$3)&gt;0,SUMIFS(TrackingTime!H:H,TrackingTime!F:F,Timer!B24,TrackingTime!C:C,Start!$F$3),"")</f>
        <v/>
      </c>
      <c r="AC24" s="71" t="str">
        <f t="shared" si="6"/>
        <v/>
      </c>
    </row>
    <row r="25" spans="1:29" x14ac:dyDescent="0.25">
      <c r="A25" s="15"/>
      <c r="E25">
        <f t="shared" ca="1" si="5"/>
        <v>1</v>
      </c>
      <c r="F25" t="str">
        <f>IFERROR(IF(YEAR(B25)=Start!$B$1,MONTH(B25),""),"")</f>
        <v/>
      </c>
      <c r="G25" s="64" t="str">
        <f>IFERROR(VLOOKUP(B25,Start!A$111:B$273,2,FALSE),"")</f>
        <v/>
      </c>
      <c r="O25" s="2"/>
      <c r="P25" s="2"/>
      <c r="U25" s="1"/>
      <c r="V25" s="7"/>
      <c r="X25" s="2"/>
      <c r="Z25" s="70" t="str">
        <f>IF(SUMIFS(TrackingTime!H:H,TrackingTime!F:F,Timer!B25,TrackingTime!C:C,Start!$B$3)&gt;0,SUMIFS(TrackingTime!H:H,TrackingTime!F:F,Timer!B25,TrackingTime!C:C,Start!$B$3),"")</f>
        <v/>
      </c>
      <c r="AA25" s="71" t="str">
        <f t="shared" si="4"/>
        <v/>
      </c>
      <c r="AB25" t="str">
        <f>IF(SUMIFS(TrackingTime!H:H,TrackingTime!F:F,Timer!B25,TrackingTime!C:C,Start!$F$3)&gt;0,SUMIFS(TrackingTime!H:H,TrackingTime!F:F,Timer!B25,TrackingTime!C:C,Start!$F$3),"")</f>
        <v/>
      </c>
      <c r="AC25" s="71" t="str">
        <f t="shared" si="6"/>
        <v/>
      </c>
    </row>
    <row r="26" spans="1:29" s="2" customFormat="1" x14ac:dyDescent="0.25">
      <c r="A26" s="2" t="s">
        <v>82</v>
      </c>
      <c r="B26" s="14" t="s">
        <v>83</v>
      </c>
      <c r="C26"/>
      <c r="D26"/>
      <c r="E26">
        <f t="shared" ca="1" si="5"/>
        <v>0</v>
      </c>
      <c r="F26" t="str">
        <f>IFERROR(IF(YEAR(B26)=Start!$B$1,MONTH(B26),""),"")</f>
        <v/>
      </c>
      <c r="G26" s="64" t="str">
        <f>IFERROR(VLOOKUP(B26,Start!A$111:B$273,2,FALSE),"")</f>
        <v/>
      </c>
      <c r="H26" s="2" t="s">
        <v>86</v>
      </c>
      <c r="I26" s="2" t="s">
        <v>125</v>
      </c>
      <c r="J26" s="2" t="s">
        <v>126</v>
      </c>
      <c r="K26" s="2" t="s">
        <v>127</v>
      </c>
      <c r="L26" s="3" t="s">
        <v>87</v>
      </c>
      <c r="M26" s="6"/>
      <c r="N26" s="2" t="s">
        <v>88</v>
      </c>
      <c r="O26" s="2" t="s">
        <v>89</v>
      </c>
      <c r="Q26" s="2" t="s">
        <v>86</v>
      </c>
      <c r="R26" s="2" t="s">
        <v>125</v>
      </c>
      <c r="S26" s="2" t="s">
        <v>126</v>
      </c>
      <c r="T26" s="2" t="s">
        <v>127</v>
      </c>
      <c r="U26" s="3" t="s">
        <v>87</v>
      </c>
      <c r="V26" s="6"/>
      <c r="W26" s="2" t="s">
        <v>88</v>
      </c>
      <c r="X26" s="2" t="s">
        <v>89</v>
      </c>
      <c r="Z26" s="70" t="str">
        <f>IF(SUMIFS(TrackingTime!H:H,TrackingTime!F:F,Timer!B26,TrackingTime!C:C,Start!$B$3)&gt;0,SUMIFS(TrackingTime!H:H,TrackingTime!F:F,Timer!B26,TrackingTime!C:C,Start!$B$3),"")</f>
        <v/>
      </c>
      <c r="AA26" s="71" t="str">
        <f t="shared" si="4"/>
        <v/>
      </c>
      <c r="AB26" t="str">
        <f>IF(SUMIFS(TrackingTime!H:H,TrackingTime!F:F,Timer!B26,TrackingTime!C:C,Start!$F$3)&gt;0,SUMIFS(TrackingTime!H:H,TrackingTime!F:F,Timer!B26,TrackingTime!C:C,Start!$F$3),"")</f>
        <v/>
      </c>
      <c r="AC26" s="71" t="str">
        <f t="shared" si="6"/>
        <v/>
      </c>
    </row>
    <row r="27" spans="1:29" x14ac:dyDescent="0.25">
      <c r="A27" s="15">
        <f>WEEKNUM(B27,21)</f>
        <v>2</v>
      </c>
      <c r="B27" s="63">
        <f>B21+(DAY(1))</f>
        <v>46027</v>
      </c>
      <c r="C27" t="str">
        <f>IFERROR(IF(OR(L27="Fri",L27="Ferie",L27="Syk",L27="Omsorg",B27&lt;Start!$B$7),0,IF(IFERROR(MATCH(B27,Start!A$253:A$273,0),0)&gt;0,VLOOKUP(B27,Start!A$253:F$273,3,FALSE)/100*Start!$B$4,VLOOKUP(WEEKDAY(B27,2),Start!A$240:F$246,4,FALSE))),"")</f>
        <v/>
      </c>
      <c r="D27" t="str">
        <f>IFERROR(IF(OR(U27="Fri",U27="Ferie",U27="Syk",U27="Omsorg",B27&lt;Start!$F$7),0,IF(IFERROR(MATCH(B27,Start!A$253:A$273,0),0)&gt;0,VLOOKUP(B27,Start!A$253:F$273,3,FALSE)/100*Start!$F$4,VLOOKUP(WEEKDAY(B27,2),Start!A$240:F$246,6,FALSE))),"")</f>
        <v/>
      </c>
      <c r="E27">
        <f t="shared" ca="1" si="5"/>
        <v>0</v>
      </c>
      <c r="F27">
        <f>IFERROR(IF(YEAR(B27)=Start!$B$1,MONTH(B27),""),"")</f>
        <v>1</v>
      </c>
      <c r="G27" s="64" t="str">
        <f>IFERROR(VLOOKUP(B27,Start!A$111:B$273,2,FALSE),"")</f>
        <v/>
      </c>
      <c r="H27" s="21"/>
      <c r="I27" s="78">
        <v>0.33333333333333331</v>
      </c>
      <c r="J27" s="78">
        <v>0.33333333333333331</v>
      </c>
      <c r="K27" s="1" t="str">
        <f>IF(Start!$B$6="Ja","",IF(((J27-I27)*24)&gt;=5.5,"X",""))</f>
        <v/>
      </c>
      <c r="L27" s="1" t="str">
        <f>IF(_xlfn.IFNA(MATCH($A27,Start!$H$3:$H$11,0),0)&gt;0,"Ferie",IFERROR(IF(VLOOKUP(B27,Start!A$165:B$234,2,FALSE)&gt;0,"Fri",0),IF(AND((J27-I27)=0,Z27=""),"",MAX((IF(K27="X",(J27-I27)*24-0.5,(J27-I27)*24)),Z27))))</f>
        <v/>
      </c>
      <c r="M27" s="58"/>
      <c r="N27" s="21" t="str">
        <f t="shared" ref="N27:N33" si="12">IF(H27=0,"",H27)</f>
        <v/>
      </c>
      <c r="O27" s="21" t="str">
        <f t="shared" ref="O27:O33" si="13">IF(L27=0,"",L27)</f>
        <v/>
      </c>
      <c r="P27" s="2"/>
      <c r="Q27" s="21"/>
      <c r="R27" s="78">
        <v>0.33333333333333331</v>
      </c>
      <c r="S27" s="78">
        <v>0.33333333333333331</v>
      </c>
      <c r="T27" s="1" t="str">
        <f>IF(Start!$B$6="Ja","",IF(((S27-R27)*24)&gt;=5.5,"X",""))</f>
        <v/>
      </c>
      <c r="U27" s="1" t="str">
        <f>IF(_xlfn.IFNA(MATCH($A$15,Start!$H$3:$H$11,0),0)&gt;0,"Ferie",(IF(L27="fri","Fri",(IF(L27="syk","Syk",IF(L27="Ferie","Ferie",IF(AND((S27-R27)=0,AB27=""),"",MAX((IF(T27="X",(S27-R27)*24-0.5,(S27-R27)*24)),AB27))))))))</f>
        <v/>
      </c>
      <c r="V27" s="58"/>
      <c r="W27" s="21" t="str">
        <f t="shared" ref="W27:W33" si="14">IF(Q27=0,"",Q27)</f>
        <v/>
      </c>
      <c r="X27" s="21" t="str">
        <f t="shared" ref="X27:X33" si="15">IF(U27=0,"",U27)</f>
        <v/>
      </c>
      <c r="Z27" s="70" t="str">
        <f>IF(SUMIFS(TrackingTime!H:H,TrackingTime!F:F,Timer!B27,TrackingTime!C:C,"Hovedkontoret")&gt;0,SUMIFS(TrackingTime!H:H,TrackingTime!F:F,Timer!B27,TrackingTime!C:C,"Hovedkontoret"),"")</f>
        <v/>
      </c>
      <c r="AA27" s="71" t="str">
        <f t="shared" si="4"/>
        <v/>
      </c>
      <c r="AB27" t="str">
        <f>IF(SUMIFS(TrackingTime!H:H,TrackingTime!F:F,Timer!B27,TrackingTime!C:C,Start!$F$3)&gt;0,SUMIFS(TrackingTime!H:H,TrackingTime!F:F,Timer!B27,TrackingTime!C:C,Start!$F$3),"")</f>
        <v/>
      </c>
      <c r="AC27" s="71" t="str">
        <f t="shared" si="6"/>
        <v/>
      </c>
    </row>
    <row r="28" spans="1:29" x14ac:dyDescent="0.25">
      <c r="A28" s="15"/>
      <c r="B28" s="63">
        <f>B27+DAY(1)</f>
        <v>46028</v>
      </c>
      <c r="C28" t="str">
        <f>IFERROR(IF(OR(L28="Fri",L28="Ferie",L28="Syk",L28="Omsorg",B28&lt;Start!$B$7),0,IF(IFERROR(MATCH(B28,Start!A$253:A$273,0),0)&gt;0,VLOOKUP(B28,Start!A$253:F$273,3,FALSE)/100*Start!$B$4,VLOOKUP(WEEKDAY(B28,2),Start!A$240:F$246,4,FALSE))),"")</f>
        <v/>
      </c>
      <c r="D28" t="str">
        <f>IFERROR(IF(OR(U28="Fri",U28="Ferie",U28="Syk",U28="Omsorg",B28&lt;Start!$F$7),0,IF(IFERROR(MATCH(B28,Start!A$253:A$273,0),0)&gt;0,VLOOKUP(B28,Start!A$253:F$273,3,FALSE)/100*Start!$F$4,VLOOKUP(WEEKDAY(B28,2),Start!A$240:F$246,6,FALSE))),"")</f>
        <v/>
      </c>
      <c r="E28">
        <f t="shared" ca="1" si="5"/>
        <v>0</v>
      </c>
      <c r="F28">
        <f>IFERROR(IF(YEAR(B28)=Start!$B$1,MONTH(B28),""),"")</f>
        <v>1</v>
      </c>
      <c r="G28" s="64" t="str">
        <f>IFERROR(VLOOKUP(B28,Start!A$111:B$273,2,FALSE),"")</f>
        <v/>
      </c>
      <c r="H28" s="21"/>
      <c r="I28" s="78">
        <v>0.33333333333333331</v>
      </c>
      <c r="J28" s="78">
        <v>0.33333333333333331</v>
      </c>
      <c r="K28" s="1" t="str">
        <f>IF(Start!$B$6="Ja","",IF(((J28-I28)*24)&gt;=5.5,"X",""))</f>
        <v/>
      </c>
      <c r="L28" s="1" t="str">
        <f>IF(_xlfn.IFNA(MATCH($A27,Start!$H$3:$H$11,0),0)&gt;0,"Ferie",IFERROR(IF(VLOOKUP($B28,Start!$A$165:$B$234,2,FALSE)&gt;0,"Fri",0),IF(AND((J28-I28)=0,Z28=""),"",MAX((IF(K28="X",(J28-I28)*24-0.5,(J28-I28)*24)),Z28))))</f>
        <v/>
      </c>
      <c r="M28" s="58"/>
      <c r="N28" s="21" t="str">
        <f t="shared" si="12"/>
        <v/>
      </c>
      <c r="O28" s="21" t="str">
        <f t="shared" si="13"/>
        <v/>
      </c>
      <c r="P28" s="2"/>
      <c r="Q28" s="21"/>
      <c r="R28" s="78">
        <v>0.33333333333333331</v>
      </c>
      <c r="S28" s="78">
        <v>0.33333333333333331</v>
      </c>
      <c r="T28" s="1" t="str">
        <f>IF(Start!$B$6="Ja","",IF(((S28-R28)*24)&gt;=5.5,"X",""))</f>
        <v/>
      </c>
      <c r="U28" s="1" t="str">
        <f>IF(_xlfn.IFNA(MATCH($A$15,Start!$H$3:$H$11,0),0)&gt;0,"Ferie",(IF(L28="fri","Fri",(IF(L28="syk","Syk",IF(L28="Ferie","Ferie",IF(AND((S28-R28)=0,AB28=""),"",MAX((IF(T28="X",(S28-R28)*24-0.5,(S28-R28)*24)),AB28))))))))</f>
        <v/>
      </c>
      <c r="V28" s="58"/>
      <c r="W28" s="21" t="str">
        <f t="shared" si="14"/>
        <v/>
      </c>
      <c r="X28" s="21" t="str">
        <f t="shared" si="15"/>
        <v/>
      </c>
      <c r="Z28" s="70" t="str">
        <f>IF(SUMIFS(TrackingTime!H:H,TrackingTime!F:F,Timer!B28,TrackingTime!C:C,"Hovedkontoret")&gt;0,SUMIFS(TrackingTime!H:H,TrackingTime!F:F,Timer!B28,TrackingTime!C:C,"Hovedkontoret"),"")</f>
        <v/>
      </c>
      <c r="AA28" s="71" t="str">
        <f t="shared" si="4"/>
        <v/>
      </c>
      <c r="AB28" t="str">
        <f>IF(SUMIFS(TrackingTime!H:H,TrackingTime!F:F,Timer!B28,TrackingTime!C:C,Start!$F$3)&gt;0,SUMIFS(TrackingTime!H:H,TrackingTime!F:F,Timer!B28,TrackingTime!C:C,Start!$F$3),"")</f>
        <v/>
      </c>
      <c r="AC28" s="71" t="str">
        <f t="shared" si="6"/>
        <v/>
      </c>
    </row>
    <row r="29" spans="1:29" x14ac:dyDescent="0.25">
      <c r="A29" s="15"/>
      <c r="B29" s="63">
        <f t="shared" ref="B29:B33" si="16">B28+DAY(1)</f>
        <v>46029</v>
      </c>
      <c r="C29" t="str">
        <f>IFERROR(IF(OR(L29="Fri",L29="Ferie",L29="Syk",L29="Omsorg",B29&lt;Start!$B$7),0,IF(IFERROR(MATCH(B29,Start!A$253:A$273,0),0)&gt;0,VLOOKUP(B29,Start!A$253:F$273,3,FALSE)/100*Start!$B$4,VLOOKUP(WEEKDAY(B29,2),Start!A$240:F$246,4,FALSE))),"")</f>
        <v/>
      </c>
      <c r="D29" t="str">
        <f>IFERROR(IF(OR(U29="Fri",U29="Ferie",U29="Syk",U29="Omsorg",B29&lt;Start!$F$7),0,IF(IFERROR(MATCH(B29,Start!A$253:A$273,0),0)&gt;0,VLOOKUP(B29,Start!A$253:F$273,3,FALSE)/100*Start!$F$4,VLOOKUP(WEEKDAY(B29,2),Start!A$240:F$246,6,FALSE))),"")</f>
        <v/>
      </c>
      <c r="E29">
        <f t="shared" ca="1" si="5"/>
        <v>0</v>
      </c>
      <c r="F29">
        <f>IFERROR(IF(YEAR(B29)=Start!$B$1,MONTH(B29),""),"")</f>
        <v>1</v>
      </c>
      <c r="G29" s="64" t="str">
        <f>IFERROR(VLOOKUP(B29,Start!A$111:B$273,2,FALSE),"")</f>
        <v/>
      </c>
      <c r="H29" s="21"/>
      <c r="I29" s="78">
        <v>0.33333333333333331</v>
      </c>
      <c r="J29" s="78">
        <v>0.33333333333333331</v>
      </c>
      <c r="K29" s="1" t="str">
        <f>IF(Start!$B$6="Ja","",IF(((J29-I29)*24)&gt;=5.5,"X",""))</f>
        <v/>
      </c>
      <c r="L29" s="1" t="str">
        <f>IF(_xlfn.IFNA(MATCH($A27,Start!$H$3:$H$11,0),0)&gt;0,"Ferie",IFERROR(IF(VLOOKUP(B29,Start!A$165:B$234,2,FALSE)&gt;0,"Fri",0),IF(AND((J29-I29)=0,Z29=""),"",MAX((IF(K29="X",(J29-I29)*24-0.5,(J29-I29)*24)),Z29))))</f>
        <v/>
      </c>
      <c r="M29" s="58"/>
      <c r="N29" s="21" t="str">
        <f t="shared" si="12"/>
        <v/>
      </c>
      <c r="O29" s="21" t="str">
        <f t="shared" si="13"/>
        <v/>
      </c>
      <c r="P29" s="2"/>
      <c r="Q29" s="21"/>
      <c r="R29" s="78">
        <v>0.33333333333333331</v>
      </c>
      <c r="S29" s="78">
        <v>0.33333333333333331</v>
      </c>
      <c r="T29" s="1" t="str">
        <f>IF(Start!$B$6="Ja","",IF(((S29-R29)*24)&gt;=5.5,"X",""))</f>
        <v/>
      </c>
      <c r="U29" s="1" t="str">
        <f>IF(_xlfn.IFNA(MATCH($A$15,Start!$H$3:$H$11,0),0)&gt;0,"Ferie",(IF(L29="fri","Fri",(IF(L29="syk","Syk",IF(L29="Ferie","Ferie",IF(AND((S29-R29)=0,AB29=""),"",MAX((IF(T29="X",(S29-R29)*24-0.5,(S29-R29)*24)),AB29))))))))</f>
        <v/>
      </c>
      <c r="V29" s="58"/>
      <c r="W29" s="21" t="str">
        <f t="shared" si="14"/>
        <v/>
      </c>
      <c r="X29" s="21" t="str">
        <f t="shared" si="15"/>
        <v/>
      </c>
      <c r="Z29" s="70" t="str">
        <f>IF(SUMIFS(TrackingTime!H:H,TrackingTime!F:F,Timer!B29,TrackingTime!C:C,"Hovedkontoret")&gt;0,SUMIFS(TrackingTime!H:H,TrackingTime!F:F,Timer!B29,TrackingTime!C:C,"Hovedkontoret"),"")</f>
        <v/>
      </c>
      <c r="AA29" s="71" t="str">
        <f t="shared" si="4"/>
        <v/>
      </c>
      <c r="AB29" t="str">
        <f>IF(SUMIFS(TrackingTime!H:H,TrackingTime!F:F,Timer!B29,TrackingTime!C:C,Start!$F$3)&gt;0,SUMIFS(TrackingTime!H:H,TrackingTime!F:F,Timer!B29,TrackingTime!C:C,Start!$F$3),"")</f>
        <v/>
      </c>
      <c r="AC29" s="71" t="str">
        <f t="shared" si="6"/>
        <v/>
      </c>
    </row>
    <row r="30" spans="1:29" x14ac:dyDescent="0.25">
      <c r="A30" s="15"/>
      <c r="B30" s="63">
        <f t="shared" si="16"/>
        <v>46030</v>
      </c>
      <c r="C30" t="str">
        <f>IFERROR(IF(OR(L30="Fri",L30="Ferie",L30="Syk",L30="Omsorg",B30&lt;Start!$B$7),0,IF(IFERROR(MATCH(B30,Start!A$253:A$273,0),0)&gt;0,VLOOKUP(B30,Start!A$253:F$273,3,FALSE)/100*Start!$B$4,VLOOKUP(WEEKDAY(B30,2),Start!A$240:F$246,4,FALSE))),"")</f>
        <v/>
      </c>
      <c r="D30" t="str">
        <f>IFERROR(IF(OR(U30="Fri",U30="Ferie",U30="Syk",U30="Omsorg",B30&lt;Start!$F$7),0,IF(IFERROR(MATCH(B30,Start!A$253:A$273,0),0)&gt;0,VLOOKUP(B30,Start!A$253:F$273,3,FALSE)/100*Start!$F$4,VLOOKUP(WEEKDAY(B30,2),Start!A$240:F$246,6,FALSE))),"")</f>
        <v/>
      </c>
      <c r="E30">
        <f t="shared" ca="1" si="5"/>
        <v>0</v>
      </c>
      <c r="F30">
        <f>IFERROR(IF(YEAR(B30)=Start!$B$1,MONTH(B30),""),"")</f>
        <v>1</v>
      </c>
      <c r="G30" s="64" t="str">
        <f>IFERROR(VLOOKUP(B30,Start!A$111:B$273,2,FALSE),"")</f>
        <v/>
      </c>
      <c r="H30" s="21"/>
      <c r="I30" s="78">
        <v>0.33333333333333331</v>
      </c>
      <c r="J30" s="78">
        <v>0.33333333333333331</v>
      </c>
      <c r="K30" s="1" t="str">
        <f>IF(Start!$B$6="Ja","",IF(((J30-I30)*24)&gt;=5.5,"X",""))</f>
        <v/>
      </c>
      <c r="L30" s="1" t="str">
        <f>IF(_xlfn.IFNA(MATCH($A27,Start!$H$3:$H$11,0),0)&gt;0,"Ferie",IFERROR(IF(VLOOKUP(B30,Start!A$165:B$234,2,FALSE)&gt;0,"Fri",0),IF(AND((J30-I30)=0,Z30=""),"",MAX((IF(K30="X",(J30-I30)*24-0.5,(J30-I30)*24)),Z30))))</f>
        <v/>
      </c>
      <c r="M30" s="58"/>
      <c r="N30" s="21" t="str">
        <f t="shared" si="12"/>
        <v/>
      </c>
      <c r="O30" s="21" t="str">
        <f t="shared" si="13"/>
        <v/>
      </c>
      <c r="P30" s="2"/>
      <c r="Q30" s="21"/>
      <c r="R30" s="78">
        <v>0.33333333333333331</v>
      </c>
      <c r="S30" s="78">
        <v>0.33333333333333331</v>
      </c>
      <c r="T30" s="1" t="str">
        <f>IF(Start!$B$6="Ja","",IF(((S30-R30)*24)&gt;=5.5,"X",""))</f>
        <v/>
      </c>
      <c r="U30" s="1" t="str">
        <f>IF(_xlfn.IFNA(MATCH($A$15,Start!$H$3:$H$11,0),0)&gt;0,"Ferie",(IF(L30="fri","Fri",(IF(L30="syk","Syk",IF(L30="Ferie","Ferie",IF(AND((S30-R30)=0,AB30=""),"",MAX((IF(T30="X",(S30-R30)*24-0.5,(S30-R30)*24)),AB30))))))))</f>
        <v/>
      </c>
      <c r="V30" s="58"/>
      <c r="W30" s="21" t="str">
        <f t="shared" si="14"/>
        <v/>
      </c>
      <c r="X30" s="21" t="str">
        <f t="shared" si="15"/>
        <v/>
      </c>
      <c r="Z30" s="70" t="str">
        <f>IF(SUMIFS(TrackingTime!H:H,TrackingTime!F:F,Timer!B30,TrackingTime!C:C,"Hovedkontoret")&gt;0,SUMIFS(TrackingTime!H:H,TrackingTime!F:F,Timer!B30,TrackingTime!C:C,"Hovedkontoret"),"")</f>
        <v/>
      </c>
      <c r="AA30" s="71" t="str">
        <f t="shared" si="4"/>
        <v/>
      </c>
      <c r="AB30" t="str">
        <f>IF(SUMIFS(TrackingTime!H:H,TrackingTime!F:F,Timer!B30,TrackingTime!C:C,Start!$F$3)&gt;0,SUMIFS(TrackingTime!H:H,TrackingTime!F:F,Timer!B30,TrackingTime!C:C,Start!$F$3),"")</f>
        <v/>
      </c>
      <c r="AC30" s="71" t="str">
        <f t="shared" si="6"/>
        <v/>
      </c>
    </row>
    <row r="31" spans="1:29" x14ac:dyDescent="0.25">
      <c r="A31" s="15"/>
      <c r="B31" s="63">
        <f t="shared" si="16"/>
        <v>46031</v>
      </c>
      <c r="C31" t="str">
        <f>IFERROR(IF(OR(L31="Fri",L31="Ferie",L31="Syk",L31="Omsorg",B31&lt;Start!$B$7),0,IF(IFERROR(MATCH(B31,Start!A$253:A$273,0),0)&gt;0,VLOOKUP(B31,Start!A$253:F$273,3,FALSE)/100*Start!$B$4,VLOOKUP(WEEKDAY(B31,2),Start!A$240:F$246,4,FALSE))),"")</f>
        <v/>
      </c>
      <c r="D31" t="str">
        <f>IFERROR(IF(OR(U31="Fri",U31="Ferie",U31="Syk",U31="Omsorg",B31&lt;Start!$F$7),0,IF(IFERROR(MATCH(B31,Start!A$253:A$273,0),0)&gt;0,VLOOKUP(B31,Start!A$253:F$273,3,FALSE)/100*Start!$F$4,VLOOKUP(WEEKDAY(B31,2),Start!A$240:F$246,6,FALSE))),"")</f>
        <v/>
      </c>
      <c r="E31">
        <f t="shared" ca="1" si="5"/>
        <v>0</v>
      </c>
      <c r="F31">
        <f>IFERROR(IF(YEAR(B31)=Start!$B$1,MONTH(B31),""),"")</f>
        <v>1</v>
      </c>
      <c r="G31" s="64" t="str">
        <f>IFERROR(VLOOKUP(B31,Start!A$111:B$273,2,FALSE),"")</f>
        <v/>
      </c>
      <c r="H31" s="21"/>
      <c r="I31" s="78">
        <v>0.33333333333333331</v>
      </c>
      <c r="J31" s="78">
        <v>0.33333333333333331</v>
      </c>
      <c r="K31" s="1" t="str">
        <f>IF(Start!$B$6="Ja","",IF(((J31-I31)*24)&gt;=5.5,"X",""))</f>
        <v/>
      </c>
      <c r="L31" s="1" t="str">
        <f>IF(_xlfn.IFNA(MATCH($A27,Start!$H$3:$H$11,0),0)&gt;0,"Ferie",IFERROR(IF(VLOOKUP(B31,Start!A$165:B$234,2,FALSE)&gt;0,"Fri",0),IF(AND((J31-I31)=0,Z31=""),"",MAX((IF(K31="X",(J31-I31)*24-0.5,(J31-I31)*24)),Z31))))</f>
        <v/>
      </c>
      <c r="M31" s="58"/>
      <c r="N31" s="21" t="str">
        <f t="shared" si="12"/>
        <v/>
      </c>
      <c r="O31" s="21" t="str">
        <f t="shared" si="13"/>
        <v/>
      </c>
      <c r="P31" s="2"/>
      <c r="Q31" s="21"/>
      <c r="R31" s="78">
        <v>0.33333333333333331</v>
      </c>
      <c r="S31" s="78">
        <v>0.33333333333333331</v>
      </c>
      <c r="T31" s="1" t="str">
        <f>IF(Start!$B$6="Ja","",IF(((S31-R31)*24)&gt;=5.5,"X",""))</f>
        <v/>
      </c>
      <c r="U31" s="1" t="str">
        <f>IF(_xlfn.IFNA(MATCH($A$15,Start!$H$3:$H$11,0),0)&gt;0,"Ferie",(IF(L31="fri","Fri",(IF(L31="syk","Syk",IF(L31="Ferie","Ferie",IF(AND((S31-R31)=0,AB31=""),"",MAX((IF(T31="X",(S31-R31)*24-0.5,(S31-R31)*24)),AB31))))))))</f>
        <v/>
      </c>
      <c r="V31" s="58"/>
      <c r="W31" s="21" t="str">
        <f t="shared" si="14"/>
        <v/>
      </c>
      <c r="X31" s="21" t="str">
        <f t="shared" si="15"/>
        <v/>
      </c>
      <c r="Z31" s="70" t="str">
        <f>IF(SUMIFS(TrackingTime!H:H,TrackingTime!F:F,Timer!B31,TrackingTime!C:C,"Hovedkontoret")&gt;0,SUMIFS(TrackingTime!H:H,TrackingTime!F:F,Timer!B31,TrackingTime!C:C,"Hovedkontoret"),"")</f>
        <v/>
      </c>
      <c r="AA31" s="71" t="str">
        <f t="shared" si="4"/>
        <v/>
      </c>
      <c r="AB31" t="str">
        <f>IF(SUMIFS(TrackingTime!H:H,TrackingTime!F:F,Timer!B31,TrackingTime!C:C,Start!$F$3)&gt;0,SUMIFS(TrackingTime!H:H,TrackingTime!F:F,Timer!B31,TrackingTime!C:C,Start!$F$3),"")</f>
        <v/>
      </c>
      <c r="AC31" s="71" t="str">
        <f t="shared" si="6"/>
        <v/>
      </c>
    </row>
    <row r="32" spans="1:29" x14ac:dyDescent="0.25">
      <c r="A32" s="15"/>
      <c r="B32" s="63">
        <f t="shared" si="16"/>
        <v>46032</v>
      </c>
      <c r="C32">
        <f>IFERROR(IF(OR(L32="Fri",L32="Ferie",L32="Syk",L32="Omsorg",B32&lt;Start!$B$7),0,IF(IFERROR(MATCH(B32,Start!A$253:A$273,0),0)&gt;0,VLOOKUP(B32,Start!A$253:F$273,3,FALSE)/100*Start!$B$4,VLOOKUP(WEEKDAY(B32,2),Start!A$240:F$246,4,FALSE))),"")</f>
        <v>0</v>
      </c>
      <c r="D32">
        <f>IFERROR(IF(OR(U32="Fri",U32="Ferie",U32="Syk",U32="Omsorg",B32&lt;Start!$F$7),0,IF(IFERROR(MATCH(B32,Start!A$253:A$273,0),0)&gt;0,VLOOKUP(B32,Start!A$253:F$273,3,FALSE)/100*Start!$F$4,VLOOKUP(WEEKDAY(B32,2),Start!A$240:F$246,6,FALSE))),"")</f>
        <v>0</v>
      </c>
      <c r="E32">
        <f t="shared" ca="1" si="5"/>
        <v>0</v>
      </c>
      <c r="F32">
        <f>IFERROR(IF(YEAR(B32)=Start!$B$1,MONTH(B32),""),"")</f>
        <v>1</v>
      </c>
      <c r="G32" s="64" t="str">
        <f>IFERROR(VLOOKUP(B32,Start!A$111:B$273,2,FALSE),"")</f>
        <v/>
      </c>
      <c r="H32" s="21"/>
      <c r="I32" s="78">
        <v>0.41666666666666669</v>
      </c>
      <c r="J32" s="78">
        <v>0.41666666666666669</v>
      </c>
      <c r="K32" s="1" t="str">
        <f>IF(Start!$B$6="Ja","",IF(((J32-I32)*24)&gt;=5.5,"X",""))</f>
        <v/>
      </c>
      <c r="L32" s="1" t="str">
        <f t="shared" ref="L32:L33" si="17">IF(AND((J32-I32)=0,Z32=""),"",MAX((IF(K32="X",(J32-I32)*24-0.5,(J32-I32)*24)),Z32))</f>
        <v/>
      </c>
      <c r="M32" s="58"/>
      <c r="N32" s="21" t="str">
        <f t="shared" si="12"/>
        <v/>
      </c>
      <c r="O32" s="21" t="str">
        <f t="shared" si="13"/>
        <v/>
      </c>
      <c r="P32" s="2"/>
      <c r="Q32" s="21"/>
      <c r="R32" s="78">
        <v>0.41666666666666669</v>
      </c>
      <c r="S32" s="78">
        <v>0.41666666666666669</v>
      </c>
      <c r="T32" s="1" t="str">
        <f>IF(Start!$B$6="Ja","",IF(((S32-R32)*24)&gt;=5.5,"X",""))</f>
        <v/>
      </c>
      <c r="U32" s="1" t="str">
        <f t="shared" ref="U32:U33" si="18">IF(AND((S32-R32)=0,AB32=""),"",MAX((IF(T32="X",(S32-R32)*24-0.5,(S32-R32)*24)),AB32))</f>
        <v/>
      </c>
      <c r="V32" s="58"/>
      <c r="W32" s="21" t="str">
        <f t="shared" si="14"/>
        <v/>
      </c>
      <c r="X32" s="21" t="str">
        <f t="shared" si="15"/>
        <v/>
      </c>
      <c r="Z32" s="70" t="str">
        <f>IF(SUMIFS(TrackingTime!H:H,TrackingTime!F:F,Timer!B32,TrackingTime!C:C,"Hovedkontoret")&gt;0,SUMIFS(TrackingTime!H:H,TrackingTime!F:F,Timer!B32,TrackingTime!C:C,"Hovedkontoret"),"")</f>
        <v/>
      </c>
      <c r="AA32" s="71" t="str">
        <f t="shared" si="4"/>
        <v/>
      </c>
      <c r="AB32" t="str">
        <f>IF(SUMIFS(TrackingTime!H:H,TrackingTime!F:F,Timer!B32,TrackingTime!C:C,Start!$F$3)&gt;0,SUMIFS(TrackingTime!H:H,TrackingTime!F:F,Timer!B32,TrackingTime!C:C,Start!$F$3),"")</f>
        <v/>
      </c>
      <c r="AC32" s="71" t="str">
        <f t="shared" si="6"/>
        <v/>
      </c>
    </row>
    <row r="33" spans="1:29" x14ac:dyDescent="0.25">
      <c r="A33" s="15"/>
      <c r="B33" s="63">
        <f t="shared" si="16"/>
        <v>46033</v>
      </c>
      <c r="C33">
        <f>IFERROR(IF(OR(L33="Fri",L33="Ferie",L33="Syk",L33="Omsorg",B33&lt;Start!$B$7),0,IF(IFERROR(MATCH(B33,Start!A$253:A$273,0),0)&gt;0,VLOOKUP(B33,Start!A$253:F$273,3,FALSE)/100*Start!$B$4,VLOOKUP(WEEKDAY(B33,2),Start!A$240:F$246,4,FALSE))),"")</f>
        <v>0</v>
      </c>
      <c r="D33">
        <f>IFERROR(IF(OR(U33="Fri",U33="Ferie",U33="Syk",U33="Omsorg",B33&lt;Start!$F$7),0,IF(IFERROR(MATCH(B33,Start!A$253:A$273,0),0)&gt;0,VLOOKUP(B33,Start!A$253:F$273,3,FALSE)/100*Start!$F$4,VLOOKUP(WEEKDAY(B33,2),Start!A$240:F$246,6,FALSE))),"")</f>
        <v>0</v>
      </c>
      <c r="E33">
        <f t="shared" ca="1" si="5"/>
        <v>0</v>
      </c>
      <c r="F33">
        <f>IFERROR(IF(YEAR(B33)=Start!$B$1,MONTH(B33),""),"")</f>
        <v>1</v>
      </c>
      <c r="G33" s="64" t="str">
        <f>IFERROR(VLOOKUP(B33,Start!A$111:B$273,2,FALSE),"")</f>
        <v/>
      </c>
      <c r="H33" s="25"/>
      <c r="I33" s="78">
        <v>0.41666666666666669</v>
      </c>
      <c r="J33" s="78">
        <v>0.41666666666666669</v>
      </c>
      <c r="K33" s="1" t="str">
        <f>IF(Start!$B$6="Ja","",IF(((J33-I33)*24)&gt;=5.5,"X",""))</f>
        <v/>
      </c>
      <c r="L33" s="1" t="str">
        <f t="shared" si="17"/>
        <v/>
      </c>
      <c r="M33" s="58"/>
      <c r="N33" s="21" t="str">
        <f t="shared" si="12"/>
        <v/>
      </c>
      <c r="O33" s="21" t="str">
        <f t="shared" si="13"/>
        <v/>
      </c>
      <c r="Q33" s="25"/>
      <c r="R33" s="78">
        <v>0.41666666666666669</v>
      </c>
      <c r="S33" s="78">
        <v>0.41666666666666669</v>
      </c>
      <c r="T33" s="1" t="str">
        <f>IF(Start!$B$6="Ja","",IF(((S33-R33)*24)&gt;=5.5,"X",""))</f>
        <v/>
      </c>
      <c r="U33" s="1" t="str">
        <f t="shared" si="18"/>
        <v/>
      </c>
      <c r="V33" s="58"/>
      <c r="W33" s="21" t="str">
        <f t="shared" si="14"/>
        <v/>
      </c>
      <c r="X33" s="21" t="str">
        <f t="shared" si="15"/>
        <v/>
      </c>
      <c r="Z33" s="70" t="str">
        <f>IF(SUMIFS(TrackingTime!H:H,TrackingTime!F:F,Timer!B33,TrackingTime!C:C,"Hovedkontoret")&gt;0,SUMIFS(TrackingTime!H:H,TrackingTime!F:F,Timer!B33,TrackingTime!C:C,"Hovedkontoret"),"")</f>
        <v/>
      </c>
      <c r="AA33" s="71" t="str">
        <f t="shared" si="4"/>
        <v/>
      </c>
      <c r="AB33" t="str">
        <f>IF(SUMIFS(TrackingTime!H:H,TrackingTime!F:F,Timer!B33,TrackingTime!C:C,Start!$F$3)&gt;0,SUMIFS(TrackingTime!H:H,TrackingTime!F:F,Timer!B33,TrackingTime!C:C,Start!$F$3),"")</f>
        <v/>
      </c>
      <c r="AC33" s="71" t="str">
        <f t="shared" si="6"/>
        <v/>
      </c>
    </row>
    <row r="34" spans="1:29" x14ac:dyDescent="0.25">
      <c r="A34" s="15"/>
      <c r="B34" s="4" t="s">
        <v>11</v>
      </c>
      <c r="C34" s="24"/>
      <c r="D34" s="24"/>
      <c r="E34" s="24">
        <f t="shared" ca="1" si="5"/>
        <v>0</v>
      </c>
      <c r="F34" s="24" t="str">
        <f>IFERROR(IF(YEAR(B34)=Start!$B$1,MONTH(B34),""),"")</f>
        <v/>
      </c>
      <c r="G34" s="64" t="str">
        <f>IFERROR(VLOOKUP(B34,Start!A$111:B$273,2,FALSE),"")</f>
        <v/>
      </c>
      <c r="H34" s="4"/>
      <c r="I34" s="4"/>
      <c r="J34" s="4"/>
      <c r="K34" s="4"/>
      <c r="L34" s="5">
        <f t="shared" si="9"/>
        <v>0</v>
      </c>
      <c r="N34" s="24"/>
      <c r="O34" s="39">
        <f>SUM(O27:O33)</f>
        <v>0</v>
      </c>
      <c r="P34" s="40"/>
      <c r="Q34" s="41"/>
      <c r="R34" s="4"/>
      <c r="S34" s="4"/>
      <c r="T34" s="4"/>
      <c r="U34" s="5">
        <f t="shared" ref="U34" si="19">SUM($U27:$U33)</f>
        <v>0</v>
      </c>
      <c r="V34" s="58"/>
      <c r="W34" s="39"/>
      <c r="X34" s="39">
        <f t="shared" ref="X34" si="20">SUM(X27:X33)</f>
        <v>0</v>
      </c>
      <c r="Z34" s="70" t="str">
        <f>IF(SUMIFS(TrackingTime!H:H,TrackingTime!F:F,Timer!B34,TrackingTime!C:C,"Hovedkontoret")&gt;0,SUMIFS(TrackingTime!H:H,TrackingTime!F:F,Timer!B34,TrackingTime!C:C,"Hovedkontoret"),"")</f>
        <v/>
      </c>
      <c r="AA34" s="71" t="str">
        <f t="shared" si="4"/>
        <v/>
      </c>
      <c r="AB34" t="str">
        <f>IF(SUMIFS(TrackingTime!H:H,TrackingTime!F:F,Timer!B34,TrackingTime!C:C,Start!$F$3)&gt;0,SUMIFS(TrackingTime!H:H,TrackingTime!F:F,Timer!B34,TrackingTime!C:C,Start!$F$3),"")</f>
        <v/>
      </c>
      <c r="AC34" s="71" t="str">
        <f t="shared" si="6"/>
        <v/>
      </c>
    </row>
    <row r="35" spans="1:29" x14ac:dyDescent="0.25">
      <c r="A35" s="15"/>
      <c r="B35" t="s">
        <v>90</v>
      </c>
      <c r="E35">
        <f t="shared" ca="1" si="5"/>
        <v>0</v>
      </c>
      <c r="F35" t="str">
        <f>IFERROR(IF(YEAR(B35)=Start!$B$1,MONTH(B35),""),"")</f>
        <v/>
      </c>
      <c r="G35" s="64" t="str">
        <f>IFERROR(VLOOKUP(B35,Start!A$111:B$273,2,FALSE),"")</f>
        <v/>
      </c>
      <c r="L35" s="1">
        <f t="shared" si="10"/>
        <v>0</v>
      </c>
      <c r="M35" s="1"/>
      <c r="N35" s="1"/>
      <c r="O35" s="21">
        <f>L35</f>
        <v>0</v>
      </c>
      <c r="P35" s="40"/>
      <c r="Q35" s="21"/>
      <c r="U35" s="1">
        <f t="shared" ref="U35" si="21">SUMIFS(D27:D33,F27:F33,"&gt;0")</f>
        <v>0</v>
      </c>
      <c r="V35" s="1"/>
      <c r="W35" s="1"/>
      <c r="X35" s="21">
        <f>U35</f>
        <v>0</v>
      </c>
      <c r="Z35" s="70" t="str">
        <f>IF(SUMIFS(TrackingTime!H:H,TrackingTime!F:F,Timer!B35,TrackingTime!C:C,"Hovedkontoret")&gt;0,SUMIFS(TrackingTime!H:H,TrackingTime!F:F,Timer!B35,TrackingTime!C:C,"Hovedkontoret"),"")</f>
        <v/>
      </c>
      <c r="AA35" s="71" t="str">
        <f t="shared" si="4"/>
        <v/>
      </c>
      <c r="AB35" t="str">
        <f>IF(SUMIFS(TrackingTime!H:H,TrackingTime!F:F,Timer!B35,TrackingTime!C:C,Start!$F$3)&gt;0,SUMIFS(TrackingTime!H:H,TrackingTime!F:F,Timer!B35,TrackingTime!C:C,Start!$F$3),"")</f>
        <v/>
      </c>
      <c r="AC35" s="71" t="str">
        <f t="shared" si="6"/>
        <v/>
      </c>
    </row>
    <row r="36" spans="1:29" x14ac:dyDescent="0.25">
      <c r="A36" s="16">
        <f>B33-B27-1</f>
        <v>5</v>
      </c>
      <c r="B36" t="s">
        <v>117</v>
      </c>
      <c r="E36">
        <f t="shared" ca="1" si="5"/>
        <v>0</v>
      </c>
      <c r="F36" t="str">
        <f>IFERROR(IF(YEAR(B36)=Start!$B$1,MONTH(B36),""),"")</f>
        <v/>
      </c>
      <c r="G36" s="64" t="str">
        <f>IFERROR(VLOOKUP(B36,Start!A$111:B$273,2,FALSE),"")</f>
        <v/>
      </c>
      <c r="L36" s="77">
        <f t="shared" ca="1" si="11"/>
        <v>0</v>
      </c>
      <c r="O36" s="21">
        <f>O34-O35</f>
        <v>0</v>
      </c>
      <c r="P36" s="21"/>
      <c r="Q36" s="21"/>
      <c r="U36" s="1">
        <f t="shared" ref="U36" ca="1" si="22">U34-U35*(IF(NETWORKDAYS($B27,TODAY())&lt;0,0,IF(NETWORKDAYS($B27,TODAY())&lt;=$A36,NETWORKDAYS($B27,TODAY()),$A36)))/$A36</f>
        <v>0</v>
      </c>
      <c r="V36" s="58"/>
      <c r="W36" s="21"/>
      <c r="X36" s="21">
        <f>X34-X35</f>
        <v>0</v>
      </c>
      <c r="Z36" s="70" t="str">
        <f>IF(SUMIFS(TrackingTime!H:H,TrackingTime!F:F,Timer!B36,TrackingTime!C:C,"Hovedkontoret")&gt;0,SUMIFS(TrackingTime!H:H,TrackingTime!F:F,Timer!B36,TrackingTime!C:C,"Hovedkontoret"),"")</f>
        <v/>
      </c>
      <c r="AA36" s="71" t="str">
        <f t="shared" si="4"/>
        <v/>
      </c>
      <c r="AB36" t="str">
        <f>IF(SUMIFS(TrackingTime!H:H,TrackingTime!F:F,Timer!B36,TrackingTime!C:C,Start!$F$3)&gt;0,SUMIFS(TrackingTime!H:H,TrackingTime!F:F,Timer!B36,TrackingTime!C:C,Start!$F$3),"")</f>
        <v/>
      </c>
      <c r="AC36" s="71" t="str">
        <f t="shared" si="6"/>
        <v/>
      </c>
    </row>
    <row r="37" spans="1:29" x14ac:dyDescent="0.25">
      <c r="A37" s="15"/>
      <c r="E37">
        <f t="shared" ca="1" si="5"/>
        <v>1</v>
      </c>
      <c r="F37" t="str">
        <f>IFERROR(IF(YEAR(B37)=Start!$B$1,MONTH(B37),""),"")</f>
        <v/>
      </c>
      <c r="G37" s="64" t="str">
        <f>IFERROR(VLOOKUP(B37,Start!A$111:B$273,2,FALSE),"")</f>
        <v/>
      </c>
      <c r="O37" s="2"/>
      <c r="P37" s="2"/>
      <c r="U37" s="1"/>
      <c r="V37" s="7"/>
      <c r="X37" s="2"/>
      <c r="Z37" s="70" t="str">
        <f>IF(SUMIFS(TrackingTime!H:H,TrackingTime!F:F,Timer!B37,TrackingTime!C:C,"Hovedkontoret")&gt;0,SUMIFS(TrackingTime!H:H,TrackingTime!F:F,Timer!B37,TrackingTime!C:C,"Hovedkontoret"),"")</f>
        <v/>
      </c>
      <c r="AA37" s="71" t="str">
        <f t="shared" si="4"/>
        <v/>
      </c>
      <c r="AB37" t="str">
        <f>IF(SUMIFS(TrackingTime!H:H,TrackingTime!F:F,Timer!B37,TrackingTime!C:C,Start!$F$3)&gt;0,SUMIFS(TrackingTime!H:H,TrackingTime!F:F,Timer!B37,TrackingTime!C:C,Start!$F$3),"")</f>
        <v/>
      </c>
      <c r="AC37" s="71" t="str">
        <f t="shared" si="6"/>
        <v/>
      </c>
    </row>
    <row r="38" spans="1:29" s="2" customFormat="1" x14ac:dyDescent="0.25">
      <c r="A38" s="2" t="s">
        <v>82</v>
      </c>
      <c r="B38" s="14" t="s">
        <v>83</v>
      </c>
      <c r="C38"/>
      <c r="D38"/>
      <c r="E38">
        <f t="shared" ref="E38:E101" ca="1" si="23">IF(B38&gt;TODAY(),0,1)</f>
        <v>0</v>
      </c>
      <c r="F38" t="str">
        <f>IFERROR(IF(YEAR(B38)=Start!$B$1,MONTH(B38),""),"")</f>
        <v/>
      </c>
      <c r="G38" s="64" t="str">
        <f>IFERROR(VLOOKUP(B38,Start!A$111:B$273,2,FALSE),"")</f>
        <v/>
      </c>
      <c r="H38" s="2" t="s">
        <v>86</v>
      </c>
      <c r="I38" s="2" t="s">
        <v>125</v>
      </c>
      <c r="J38" s="2" t="s">
        <v>126</v>
      </c>
      <c r="K38" s="2" t="s">
        <v>127</v>
      </c>
      <c r="L38" s="3" t="s">
        <v>87</v>
      </c>
      <c r="M38" s="6"/>
      <c r="N38" s="2" t="s">
        <v>88</v>
      </c>
      <c r="O38" s="2" t="s">
        <v>89</v>
      </c>
      <c r="Q38" s="2" t="s">
        <v>86</v>
      </c>
      <c r="R38" s="2" t="s">
        <v>125</v>
      </c>
      <c r="S38" s="2" t="s">
        <v>126</v>
      </c>
      <c r="T38" s="2" t="s">
        <v>127</v>
      </c>
      <c r="U38" s="3" t="s">
        <v>87</v>
      </c>
      <c r="V38" s="6"/>
      <c r="W38" s="2" t="s">
        <v>88</v>
      </c>
      <c r="X38" s="2" t="s">
        <v>89</v>
      </c>
      <c r="Z38" s="70" t="str">
        <f>IF(SUMIFS(TrackingTime!H:H,TrackingTime!F:F,Timer!B38,TrackingTime!C:C,"Hovedkontoret")&gt;0,SUMIFS(TrackingTime!H:H,TrackingTime!F:F,Timer!B38,TrackingTime!C:C,"Hovedkontoret"),"")</f>
        <v/>
      </c>
      <c r="AA38" s="71" t="str">
        <f t="shared" si="4"/>
        <v/>
      </c>
      <c r="AB38" t="str">
        <f>IF(SUMIFS(TrackingTime!H:H,TrackingTime!F:F,Timer!B38,TrackingTime!C:C,Start!$F$3)&gt;0,SUMIFS(TrackingTime!H:H,TrackingTime!F:F,Timer!B38,TrackingTime!C:C,Start!$F$3),"")</f>
        <v/>
      </c>
      <c r="AC38" s="71" t="str">
        <f t="shared" si="6"/>
        <v/>
      </c>
    </row>
    <row r="39" spans="1:29" x14ac:dyDescent="0.25">
      <c r="A39" s="15">
        <f>WEEKNUM(B39,21)</f>
        <v>3</v>
      </c>
      <c r="B39" s="63">
        <f>B33+(DAY(1))</f>
        <v>46034</v>
      </c>
      <c r="C39" t="str">
        <f>IFERROR(IF(OR(L39="Fri",L39="Ferie",L39="Syk",L39="Omsorg",B39&lt;Start!$B$7),0,IF(IFERROR(MATCH(B39,Start!A$253:A$273,0),0)&gt;0,VLOOKUP(B39,Start!A$253:F$273,3,FALSE)/100*Start!$B$4,VLOOKUP(WEEKDAY(B39,2),Start!A$240:F$246,4,FALSE))),"")</f>
        <v/>
      </c>
      <c r="D39" t="str">
        <f>IFERROR(IF(OR(U39="Fri",U39="Ferie",U39="Syk",U39="Omsorg",B39&lt;Start!$F$7),0,IF(IFERROR(MATCH(B39,Start!A$253:A$273,0),0)&gt;0,VLOOKUP(B39,Start!A$253:F$273,3,FALSE)/100*Start!$F$4,VLOOKUP(WEEKDAY(B39,2),Start!A$240:F$246,6,FALSE))),"")</f>
        <v/>
      </c>
      <c r="E39">
        <f t="shared" ca="1" si="23"/>
        <v>0</v>
      </c>
      <c r="F39">
        <f>IFERROR(IF(YEAR(B39)=Start!$B$1,MONTH(B39),""),"")</f>
        <v>1</v>
      </c>
      <c r="G39" s="64" t="str">
        <f>IFERROR(VLOOKUP(B39,Start!A$111:B$273,2,FALSE),"")</f>
        <v/>
      </c>
      <c r="H39" s="21"/>
      <c r="I39" s="78">
        <v>0.33333333333333331</v>
      </c>
      <c r="J39" s="78">
        <v>0.33333333333333331</v>
      </c>
      <c r="K39" s="1" t="str">
        <f>IF(Start!$B$6="Ja","",IF(((J39-I39)*24)&gt;=5.5,"X",""))</f>
        <v/>
      </c>
      <c r="L39" s="1" t="str">
        <f>IF(_xlfn.IFNA(MATCH($A39,Start!$H$3:$H$11,0),0)&gt;0,"Ferie",IFERROR(IF(VLOOKUP(B39,Start!A$165:B$234,2,FALSE)&gt;0,"Fri",0),IF(AND((J39-I39)=0,Z39=""),"",MAX((IF(K39="X",(J39-I39)*24-0.5,(J39-I39)*24)),Z39))))</f>
        <v/>
      </c>
      <c r="M39" s="58"/>
      <c r="N39" s="21" t="str">
        <f t="shared" ref="N39:N45" si="24">IF(H39=0,"",H39)</f>
        <v/>
      </c>
      <c r="O39" s="21" t="str">
        <f t="shared" ref="O39:O45" si="25">IF(L39=0,"",L39)</f>
        <v/>
      </c>
      <c r="P39" s="2"/>
      <c r="Q39" s="21"/>
      <c r="R39" s="78">
        <v>0.33333333333333331</v>
      </c>
      <c r="S39" s="78">
        <v>0.33333333333333331</v>
      </c>
      <c r="T39" s="1" t="str">
        <f>IF(Start!$B$6="Ja","",IF(((S39-R39)*24)&gt;=5.5,"X",""))</f>
        <v/>
      </c>
      <c r="U39" s="1" t="str">
        <f>IF(_xlfn.IFNA(MATCH($A$15,Start!$H$3:$H$11,0),0)&gt;0,"Ferie",(IF(L39="fri","Fri",(IF(L39="syk","Syk",IF(L39="Ferie","Ferie",IF(AND((S39-R39)=0,AB39=""),"",MAX((IF(T39="X",(S39-R39)*24-0.5,(S39-R39)*24)),AB39))))))))</f>
        <v/>
      </c>
      <c r="V39" s="58"/>
      <c r="W39" s="21" t="str">
        <f t="shared" ref="W39:W45" si="26">IF(Q39=0,"",Q39)</f>
        <v/>
      </c>
      <c r="X39" s="21" t="str">
        <f t="shared" ref="X39:X45" si="27">IF(U39=0,"",U39)</f>
        <v/>
      </c>
      <c r="Z39" s="70" t="str">
        <f>IF(SUMIFS(TrackingTime!H:H,TrackingTime!F:F,Timer!B39,TrackingTime!C:C,"Hovedkontoret")&gt;0,SUMIFS(TrackingTime!H:H,TrackingTime!F:F,Timer!B39,TrackingTime!C:C,"Hovedkontoret"),"")</f>
        <v/>
      </c>
      <c r="AA39" s="71" t="str">
        <f t="shared" si="4"/>
        <v/>
      </c>
      <c r="AB39" t="str">
        <f>IF(SUMIFS(TrackingTime!H:H,TrackingTime!F:F,Timer!B39,TrackingTime!C:C,Start!$F$3)&gt;0,SUMIFS(TrackingTime!H:H,TrackingTime!F:F,Timer!B39,TrackingTime!C:C,Start!$F$3),"")</f>
        <v/>
      </c>
      <c r="AC39" s="71" t="str">
        <f t="shared" si="6"/>
        <v/>
      </c>
    </row>
    <row r="40" spans="1:29" x14ac:dyDescent="0.25">
      <c r="A40" s="15"/>
      <c r="B40" s="63">
        <f>B39+DAY(1)</f>
        <v>46035</v>
      </c>
      <c r="C40" t="str">
        <f>IFERROR(IF(OR(L40="Fri",L40="Ferie",L40="Syk",L40="Omsorg",B40&lt;Start!$B$7),0,IF(IFERROR(MATCH(B40,Start!A$253:A$273,0),0)&gt;0,VLOOKUP(B40,Start!A$253:F$273,3,FALSE)/100*Start!$B$4,VLOOKUP(WEEKDAY(B40,2),Start!A$240:F$246,4,FALSE))),"")</f>
        <v/>
      </c>
      <c r="D40" t="str">
        <f>IFERROR(IF(OR(U40="Fri",U40="Ferie",U40="Syk",U40="Omsorg",B40&lt;Start!$F$7),0,IF(IFERROR(MATCH(B40,Start!A$253:A$273,0),0)&gt;0,VLOOKUP(B40,Start!A$253:F$273,3,FALSE)/100*Start!$F$4,VLOOKUP(WEEKDAY(B40,2),Start!A$240:F$246,6,FALSE))),"")</f>
        <v/>
      </c>
      <c r="E40">
        <f t="shared" ca="1" si="23"/>
        <v>0</v>
      </c>
      <c r="F40">
        <f>IFERROR(IF(YEAR(B40)=Start!$B$1,MONTH(B40),""),"")</f>
        <v>1</v>
      </c>
      <c r="G40" s="64" t="str">
        <f>IFERROR(VLOOKUP(B40,Start!A$111:B$273,2,FALSE),"")</f>
        <v/>
      </c>
      <c r="H40" s="21"/>
      <c r="I40" s="78">
        <v>0.33333333333333331</v>
      </c>
      <c r="J40" s="78">
        <v>0.33333333333333331</v>
      </c>
      <c r="K40" s="1" t="str">
        <f>IF(Start!$B$6="Ja","",IF(((J40-I40)*24)&gt;=5.5,"X",""))</f>
        <v/>
      </c>
      <c r="L40" s="1" t="str">
        <f>IF(_xlfn.IFNA(MATCH($A39,Start!$H$3:$H$11,0),0)&gt;0,"Ferie",IFERROR(IF(VLOOKUP($B40,Start!$A$165:$B$234,2,FALSE)&gt;0,"Fri",0),IF(AND((J40-I40)=0,Z40=""),"",MAX((IF(K40="X",(J40-I40)*24-0.5,(J40-I40)*24)),Z40))))</f>
        <v/>
      </c>
      <c r="M40" s="58"/>
      <c r="N40" s="21" t="str">
        <f t="shared" si="24"/>
        <v/>
      </c>
      <c r="O40" s="21" t="str">
        <f t="shared" si="25"/>
        <v/>
      </c>
      <c r="P40" s="2"/>
      <c r="Q40" s="21"/>
      <c r="R40" s="78">
        <v>0.33333333333333331</v>
      </c>
      <c r="S40" s="78">
        <v>0.33333333333333331</v>
      </c>
      <c r="T40" s="1" t="str">
        <f>IF(Start!$B$6="Ja","",IF(((S40-R40)*24)&gt;=5.5,"X",""))</f>
        <v/>
      </c>
      <c r="U40" s="1" t="str">
        <f>IF(_xlfn.IFNA(MATCH($A$15,Start!$H$3:$H$11,0),0)&gt;0,"Ferie",(IF(L40="fri","Fri",(IF(L40="syk","Syk",IF(L40="Ferie","Ferie",IF(AND((S40-R40)=0,AB40=""),"",MAX((IF(T40="X",(S40-R40)*24-0.5,(S40-R40)*24)),AB40))))))))</f>
        <v/>
      </c>
      <c r="V40" s="58"/>
      <c r="W40" s="21" t="str">
        <f t="shared" si="26"/>
        <v/>
      </c>
      <c r="X40" s="21" t="str">
        <f t="shared" si="27"/>
        <v/>
      </c>
      <c r="Z40" s="70" t="str">
        <f>IF(SUMIFS(TrackingTime!H:H,TrackingTime!F:F,Timer!B40,TrackingTime!C:C,"Hovedkontoret")&gt;0,SUMIFS(TrackingTime!H:H,TrackingTime!F:F,Timer!B40,TrackingTime!C:C,"Hovedkontoret"),"")</f>
        <v/>
      </c>
      <c r="AA40" s="71" t="str">
        <f t="shared" si="4"/>
        <v/>
      </c>
      <c r="AB40" t="str">
        <f>IF(SUMIFS(TrackingTime!H:H,TrackingTime!F:F,Timer!B40,TrackingTime!C:C,Start!$F$3)&gt;0,SUMIFS(TrackingTime!H:H,TrackingTime!F:F,Timer!B40,TrackingTime!C:C,Start!$F$3),"")</f>
        <v/>
      </c>
      <c r="AC40" s="71" t="str">
        <f t="shared" si="6"/>
        <v/>
      </c>
    </row>
    <row r="41" spans="1:29" x14ac:dyDescent="0.25">
      <c r="A41" s="15"/>
      <c r="B41" s="63">
        <f t="shared" ref="B41:B45" si="28">B40+DAY(1)</f>
        <v>46036</v>
      </c>
      <c r="C41" t="str">
        <f>IFERROR(IF(OR(L41="Fri",L41="Ferie",L41="Syk",L41="Omsorg",B41&lt;Start!$B$7),0,IF(IFERROR(MATCH(B41,Start!A$253:A$273,0),0)&gt;0,VLOOKUP(B41,Start!A$253:F$273,3,FALSE)/100*Start!$B$4,VLOOKUP(WEEKDAY(B41,2),Start!A$240:F$246,4,FALSE))),"")</f>
        <v/>
      </c>
      <c r="D41" t="str">
        <f>IFERROR(IF(OR(U41="Fri",U41="Ferie",U41="Syk",U41="Omsorg",B41&lt;Start!$F$7),0,IF(IFERROR(MATCH(B41,Start!A$253:A$273,0),0)&gt;0,VLOOKUP(B41,Start!A$253:F$273,3,FALSE)/100*Start!$F$4,VLOOKUP(WEEKDAY(B41,2),Start!A$240:F$246,6,FALSE))),"")</f>
        <v/>
      </c>
      <c r="E41">
        <f t="shared" ca="1" si="23"/>
        <v>0</v>
      </c>
      <c r="F41">
        <f>IFERROR(IF(YEAR(B41)=Start!$B$1,MONTH(B41),""),"")</f>
        <v>1</v>
      </c>
      <c r="G41" s="64" t="str">
        <f>IFERROR(VLOOKUP(B41,Start!A$111:B$273,2,FALSE),"")</f>
        <v/>
      </c>
      <c r="H41" s="21"/>
      <c r="I41" s="78">
        <v>0.33333333333333331</v>
      </c>
      <c r="J41" s="78">
        <v>0.33333333333333331</v>
      </c>
      <c r="K41" s="1" t="str">
        <f>IF(Start!$B$6="Ja","",IF(((J41-I41)*24)&gt;=5.5,"X",""))</f>
        <v/>
      </c>
      <c r="L41" s="1" t="str">
        <f>IF(_xlfn.IFNA(MATCH($A39,Start!$H$3:$H$11,0),0)&gt;0,"Ferie",IFERROR(IF(VLOOKUP(B41,Start!A$165:B$234,2,FALSE)&gt;0,"Fri",0),IF(AND((J41-I41)=0,Z41=""),"",MAX((IF(K41="X",(J41-I41)*24-0.5,(J41-I41)*24)),Z41))))</f>
        <v/>
      </c>
      <c r="M41" s="58"/>
      <c r="N41" s="21" t="str">
        <f t="shared" si="24"/>
        <v/>
      </c>
      <c r="O41" s="21" t="str">
        <f t="shared" si="25"/>
        <v/>
      </c>
      <c r="P41" s="2"/>
      <c r="Q41" s="21"/>
      <c r="R41" s="78">
        <v>0.33333333333333331</v>
      </c>
      <c r="S41" s="78">
        <v>0.33333333333333331</v>
      </c>
      <c r="T41" s="1" t="str">
        <f>IF(Start!$B$6="Ja","",IF(((S41-R41)*24)&gt;=5.5,"X",""))</f>
        <v/>
      </c>
      <c r="U41" s="1" t="str">
        <f>IF(_xlfn.IFNA(MATCH($A$15,Start!$H$3:$H$11,0),0)&gt;0,"Ferie",(IF(L41="fri","Fri",(IF(L41="syk","Syk",IF(L41="Ferie","Ferie",IF(AND((S41-R41)=0,AB41=""),"",MAX((IF(T41="X",(S41-R41)*24-0.5,(S41-R41)*24)),AB41))))))))</f>
        <v/>
      </c>
      <c r="V41" s="58"/>
      <c r="W41" s="21" t="str">
        <f t="shared" si="26"/>
        <v/>
      </c>
      <c r="X41" s="21" t="str">
        <f t="shared" si="27"/>
        <v/>
      </c>
      <c r="Z41" s="70" t="str">
        <f>IF(SUMIFS(TrackingTime!H:H,TrackingTime!F:F,Timer!B41,TrackingTime!C:C,"Hovedkontoret")&gt;0,SUMIFS(TrackingTime!H:H,TrackingTime!F:F,Timer!B41,TrackingTime!C:C,"Hovedkontoret"),"")</f>
        <v/>
      </c>
      <c r="AA41" s="71" t="str">
        <f t="shared" si="4"/>
        <v/>
      </c>
      <c r="AB41" t="str">
        <f>IF(SUMIFS(TrackingTime!H:H,TrackingTime!F:F,Timer!B41,TrackingTime!C:C,Start!$F$3)&gt;0,SUMIFS(TrackingTime!H:H,TrackingTime!F:F,Timer!B41,TrackingTime!C:C,Start!$F$3),"")</f>
        <v/>
      </c>
      <c r="AC41" s="71" t="str">
        <f t="shared" si="6"/>
        <v/>
      </c>
    </row>
    <row r="42" spans="1:29" x14ac:dyDescent="0.25">
      <c r="A42" s="15"/>
      <c r="B42" s="63">
        <f t="shared" si="28"/>
        <v>46037</v>
      </c>
      <c r="C42" t="str">
        <f>IFERROR(IF(OR(L42="Fri",L42="Ferie",L42="Syk",L42="Omsorg",B42&lt;Start!$B$7),0,IF(IFERROR(MATCH(B42,Start!A$253:A$273,0),0)&gt;0,VLOOKUP(B42,Start!A$253:F$273,3,FALSE)/100*Start!$B$4,VLOOKUP(WEEKDAY(B42,2),Start!A$240:F$246,4,FALSE))),"")</f>
        <v/>
      </c>
      <c r="D42" t="str">
        <f>IFERROR(IF(OR(U42="Fri",U42="Ferie",U42="Syk",U42="Omsorg",B42&lt;Start!$F$7),0,IF(IFERROR(MATCH(B42,Start!A$253:A$273,0),0)&gt;0,VLOOKUP(B42,Start!A$253:F$273,3,FALSE)/100*Start!$F$4,VLOOKUP(WEEKDAY(B42,2),Start!A$240:F$246,6,FALSE))),"")</f>
        <v/>
      </c>
      <c r="E42">
        <f t="shared" ca="1" si="23"/>
        <v>0</v>
      </c>
      <c r="F42">
        <f>IFERROR(IF(YEAR(B42)=Start!$B$1,MONTH(B42),""),"")</f>
        <v>1</v>
      </c>
      <c r="G42" s="64" t="str">
        <f>IFERROR(VLOOKUP(B42,Start!A$111:B$273,2,FALSE),"")</f>
        <v/>
      </c>
      <c r="H42" s="21"/>
      <c r="I42" s="78">
        <v>0.33333333333333331</v>
      </c>
      <c r="J42" s="78">
        <v>0.33333333333333331</v>
      </c>
      <c r="K42" s="1" t="str">
        <f>IF(Start!$B$6="Ja","",IF(((J42-I42)*24)&gt;=5.5,"X",""))</f>
        <v/>
      </c>
      <c r="L42" s="1" t="str">
        <f>IF(_xlfn.IFNA(MATCH($A39,Start!$H$3:$H$11,0),0)&gt;0,"Ferie",IFERROR(IF(VLOOKUP(B42,Start!A$165:B$234,2,FALSE)&gt;0,"Fri",0),IF(AND((J42-I42)=0,Z42=""),"",MAX((IF(K42="X",(J42-I42)*24-0.5,(J42-I42)*24)),Z42))))</f>
        <v/>
      </c>
      <c r="M42" s="58"/>
      <c r="N42" s="21" t="str">
        <f t="shared" si="24"/>
        <v/>
      </c>
      <c r="O42" s="21" t="str">
        <f t="shared" si="25"/>
        <v/>
      </c>
      <c r="P42" s="2"/>
      <c r="Q42" s="21"/>
      <c r="R42" s="78">
        <v>0.33333333333333331</v>
      </c>
      <c r="S42" s="78">
        <v>0.33333333333333331</v>
      </c>
      <c r="T42" s="1" t="str">
        <f>IF(Start!$B$6="Ja","",IF(((S42-R42)*24)&gt;=5.5,"X",""))</f>
        <v/>
      </c>
      <c r="U42" s="1" t="str">
        <f>IF(_xlfn.IFNA(MATCH($A$15,Start!$H$3:$H$11,0),0)&gt;0,"Ferie",(IF(L42="fri","Fri",(IF(L42="syk","Syk",IF(L42="Ferie","Ferie",IF(AND((S42-R42)=0,AB42=""),"",MAX((IF(T42="X",(S42-R42)*24-0.5,(S42-R42)*24)),AB42))))))))</f>
        <v/>
      </c>
      <c r="V42" s="58"/>
      <c r="W42" s="21" t="str">
        <f t="shared" si="26"/>
        <v/>
      </c>
      <c r="X42" s="21" t="str">
        <f t="shared" si="27"/>
        <v/>
      </c>
      <c r="Z42" s="70" t="str">
        <f>IF(SUMIFS(TrackingTime!H:H,TrackingTime!F:F,Timer!B42,TrackingTime!C:C,"Hovedkontoret")&gt;0,SUMIFS(TrackingTime!H:H,TrackingTime!F:F,Timer!B42,TrackingTime!C:C,"Hovedkontoret"),"")</f>
        <v/>
      </c>
      <c r="AA42" s="71" t="str">
        <f t="shared" si="4"/>
        <v/>
      </c>
      <c r="AB42" t="str">
        <f>IF(SUMIFS(TrackingTime!H:H,TrackingTime!F:F,Timer!B42,TrackingTime!C:C,Start!$F$3)&gt;0,SUMIFS(TrackingTime!H:H,TrackingTime!F:F,Timer!B42,TrackingTime!C:C,Start!$F$3),"")</f>
        <v/>
      </c>
      <c r="AC42" s="71" t="str">
        <f t="shared" si="6"/>
        <v/>
      </c>
    </row>
    <row r="43" spans="1:29" x14ac:dyDescent="0.25">
      <c r="A43" s="15"/>
      <c r="B43" s="63">
        <f t="shared" si="28"/>
        <v>46038</v>
      </c>
      <c r="C43" t="str">
        <f>IFERROR(IF(OR(L43="Fri",L43="Ferie",L43="Syk",L43="Omsorg",B43&lt;Start!$B$7),0,IF(IFERROR(MATCH(B43,Start!A$253:A$273,0),0)&gt;0,VLOOKUP(B43,Start!A$253:F$273,3,FALSE)/100*Start!$B$4,VLOOKUP(WEEKDAY(B43,2),Start!A$240:F$246,4,FALSE))),"")</f>
        <v/>
      </c>
      <c r="D43" t="str">
        <f>IFERROR(IF(OR(U43="Fri",U43="Ferie",U43="Syk",U43="Omsorg",B43&lt;Start!$F$7),0,IF(IFERROR(MATCH(B43,Start!A$253:A$273,0),0)&gt;0,VLOOKUP(B43,Start!A$253:F$273,3,FALSE)/100*Start!$F$4,VLOOKUP(WEEKDAY(B43,2),Start!A$240:F$246,6,FALSE))),"")</f>
        <v/>
      </c>
      <c r="E43">
        <f t="shared" ca="1" si="23"/>
        <v>0</v>
      </c>
      <c r="F43">
        <f>IFERROR(IF(YEAR(B43)=Start!$B$1,MONTH(B43),""),"")</f>
        <v>1</v>
      </c>
      <c r="G43" s="64" t="str">
        <f>IFERROR(VLOOKUP(B43,Start!A$111:B$273,2,FALSE),"")</f>
        <v/>
      </c>
      <c r="H43" s="21"/>
      <c r="I43" s="78">
        <v>0.33333333333333331</v>
      </c>
      <c r="J43" s="78">
        <v>0.33333333333333331</v>
      </c>
      <c r="K43" s="1" t="str">
        <f>IF(Start!$B$6="Ja","",IF(((J43-I43)*24)&gt;=5.5,"X",""))</f>
        <v/>
      </c>
      <c r="L43" s="1" t="str">
        <f>IF(_xlfn.IFNA(MATCH($A39,Start!$H$3:$H$11,0),0)&gt;0,"Ferie",IFERROR(IF(VLOOKUP(B43,Start!A$165:B$234,2,FALSE)&gt;0,"Fri",0),IF(AND((J43-I43)=0,Z43=""),"",MAX((IF(K43="X",(J43-I43)*24-0.5,(J43-I43)*24)),Z43))))</f>
        <v/>
      </c>
      <c r="M43" s="58"/>
      <c r="N43" s="21" t="str">
        <f t="shared" si="24"/>
        <v/>
      </c>
      <c r="O43" s="21" t="str">
        <f t="shared" si="25"/>
        <v/>
      </c>
      <c r="P43" s="2"/>
      <c r="Q43" s="21"/>
      <c r="R43" s="78">
        <v>0.33333333333333331</v>
      </c>
      <c r="S43" s="78">
        <v>0.33333333333333331</v>
      </c>
      <c r="T43" s="1" t="str">
        <f>IF(Start!$B$6="Ja","",IF(((S43-R43)*24)&gt;=5.5,"X",""))</f>
        <v/>
      </c>
      <c r="U43" s="1" t="str">
        <f>IF(_xlfn.IFNA(MATCH($A$15,Start!$H$3:$H$11,0),0)&gt;0,"Ferie",(IF(L43="fri","Fri",(IF(L43="syk","Syk",IF(L43="Ferie","Ferie",IF(AND((S43-R43)=0,AB43=""),"",MAX((IF(T43="X",(S43-R43)*24-0.5,(S43-R43)*24)),AB43))))))))</f>
        <v/>
      </c>
      <c r="V43" s="58"/>
      <c r="W43" s="21" t="str">
        <f t="shared" si="26"/>
        <v/>
      </c>
      <c r="X43" s="21" t="str">
        <f t="shared" si="27"/>
        <v/>
      </c>
      <c r="Z43" s="70" t="str">
        <f>IF(SUMIFS(TrackingTime!H:H,TrackingTime!F:F,Timer!B43,TrackingTime!C:C,"Hovedkontoret")&gt;0,SUMIFS(TrackingTime!H:H,TrackingTime!F:F,Timer!B43,TrackingTime!C:C,"Hovedkontoret"),"")</f>
        <v/>
      </c>
      <c r="AA43" s="71" t="str">
        <f t="shared" si="4"/>
        <v/>
      </c>
      <c r="AB43" t="str">
        <f>IF(SUMIFS(TrackingTime!H:H,TrackingTime!F:F,Timer!B43,TrackingTime!C:C,Start!$F$3)&gt;0,SUMIFS(TrackingTime!H:H,TrackingTime!F:F,Timer!B43,TrackingTime!C:C,Start!$F$3),"")</f>
        <v/>
      </c>
      <c r="AC43" s="71" t="str">
        <f t="shared" si="6"/>
        <v/>
      </c>
    </row>
    <row r="44" spans="1:29" x14ac:dyDescent="0.25">
      <c r="A44" s="15"/>
      <c r="B44" s="63">
        <f t="shared" si="28"/>
        <v>46039</v>
      </c>
      <c r="C44">
        <f>IFERROR(IF(OR(L44="Fri",L44="Ferie",L44="Syk",L44="Omsorg",B44&lt;Start!$B$7),0,IF(IFERROR(MATCH(B44,Start!A$253:A$273,0),0)&gt;0,VLOOKUP(B44,Start!A$253:F$273,3,FALSE)/100*Start!$B$4,VLOOKUP(WEEKDAY(B44,2),Start!A$240:F$246,4,FALSE))),"")</f>
        <v>0</v>
      </c>
      <c r="D44">
        <f>IFERROR(IF(OR(U44="Fri",U44="Ferie",U44="Syk",U44="Omsorg",B44&lt;Start!$F$7),0,IF(IFERROR(MATCH(B44,Start!A$253:A$273,0),0)&gt;0,VLOOKUP(B44,Start!A$253:F$273,3,FALSE)/100*Start!$F$4,VLOOKUP(WEEKDAY(B44,2),Start!A$240:F$246,6,FALSE))),"")</f>
        <v>0</v>
      </c>
      <c r="E44">
        <f t="shared" ca="1" si="23"/>
        <v>0</v>
      </c>
      <c r="F44">
        <f>IFERROR(IF(YEAR(B44)=Start!$B$1,MONTH(B44),""),"")</f>
        <v>1</v>
      </c>
      <c r="G44" s="64" t="str">
        <f>IFERROR(VLOOKUP(B44,Start!A$111:B$273,2,FALSE),"")</f>
        <v/>
      </c>
      <c r="H44" s="21"/>
      <c r="I44" s="78">
        <v>0.41666666666666669</v>
      </c>
      <c r="J44" s="78">
        <v>0.41666666666666669</v>
      </c>
      <c r="K44" s="1" t="str">
        <f>IF(Start!$B$6="Ja","",IF(((J44-I44)*24)&gt;=5.5,"X",""))</f>
        <v/>
      </c>
      <c r="L44" s="1" t="str">
        <f t="shared" ref="L44:L45" si="29">IF(AND((J44-I44)=0,Z44=""),"",MAX((IF(K44="X",(J44-I44)*24-0.5,(J44-I44)*24)),Z44))</f>
        <v/>
      </c>
      <c r="M44" s="58"/>
      <c r="N44" s="21" t="str">
        <f t="shared" si="24"/>
        <v/>
      </c>
      <c r="O44" s="21" t="str">
        <f t="shared" si="25"/>
        <v/>
      </c>
      <c r="P44" s="2"/>
      <c r="Q44" s="21"/>
      <c r="R44" s="78">
        <v>0.41666666666666669</v>
      </c>
      <c r="S44" s="78">
        <v>0.41666666666666669</v>
      </c>
      <c r="T44" s="1" t="str">
        <f>IF(Start!$B$6="Ja","",IF(((S44-R44)*24)&gt;=5.5,"X",""))</f>
        <v/>
      </c>
      <c r="U44" s="1" t="str">
        <f t="shared" ref="U44:U45" si="30">IF(AND((S44-R44)=0,AB44=""),"",MAX((IF(T44="X",(S44-R44)*24-0.5,(S44-R44)*24)),AB44))</f>
        <v/>
      </c>
      <c r="V44" s="58"/>
      <c r="W44" s="21" t="str">
        <f t="shared" si="26"/>
        <v/>
      </c>
      <c r="X44" s="21" t="str">
        <f t="shared" si="27"/>
        <v/>
      </c>
      <c r="Z44" s="70" t="str">
        <f>IF(SUMIFS(TrackingTime!H:H,TrackingTime!F:F,Timer!B44,TrackingTime!C:C,"Hovedkontoret")&gt;0,SUMIFS(TrackingTime!H:H,TrackingTime!F:F,Timer!B44,TrackingTime!C:C,"Hovedkontoret"),"")</f>
        <v/>
      </c>
      <c r="AA44" s="71" t="str">
        <f t="shared" si="4"/>
        <v/>
      </c>
      <c r="AB44" t="str">
        <f>IF(SUMIFS(TrackingTime!H:H,TrackingTime!F:F,Timer!B44,TrackingTime!C:C,Start!$F$3)&gt;0,SUMIFS(TrackingTime!H:H,TrackingTime!F:F,Timer!B44,TrackingTime!C:C,Start!$F$3),"")</f>
        <v/>
      </c>
      <c r="AC44" s="71" t="str">
        <f t="shared" si="6"/>
        <v/>
      </c>
    </row>
    <row r="45" spans="1:29" x14ac:dyDescent="0.25">
      <c r="A45" s="15"/>
      <c r="B45" s="63">
        <f t="shared" si="28"/>
        <v>46040</v>
      </c>
      <c r="C45">
        <f>IFERROR(IF(OR(L45="Fri",L45="Ferie",L45="Syk",L45="Omsorg",B45&lt;Start!$B$7),0,IF(IFERROR(MATCH(B45,Start!A$253:A$273,0),0)&gt;0,VLOOKUP(B45,Start!A$253:F$273,3,FALSE)/100*Start!$B$4,VLOOKUP(WEEKDAY(B45,2),Start!A$240:F$246,4,FALSE))),"")</f>
        <v>0</v>
      </c>
      <c r="D45">
        <f>IFERROR(IF(OR(U45="Fri",U45="Ferie",U45="Syk",U45="Omsorg",B45&lt;Start!$F$7),0,IF(IFERROR(MATCH(B45,Start!A$253:A$273,0),0)&gt;0,VLOOKUP(B45,Start!A$253:F$273,3,FALSE)/100*Start!$F$4,VLOOKUP(WEEKDAY(B45,2),Start!A$240:F$246,6,FALSE))),"")</f>
        <v>0</v>
      </c>
      <c r="E45">
        <f t="shared" ca="1" si="23"/>
        <v>0</v>
      </c>
      <c r="F45">
        <f>IFERROR(IF(YEAR(B45)=Start!$B$1,MONTH(B45),""),"")</f>
        <v>1</v>
      </c>
      <c r="G45" s="64" t="str">
        <f>IFERROR(VLOOKUP(B45,Start!A$111:B$273,2,FALSE),"")</f>
        <v/>
      </c>
      <c r="H45" s="25"/>
      <c r="I45" s="78">
        <v>0.41666666666666669</v>
      </c>
      <c r="J45" s="78">
        <v>0.41666666666666669</v>
      </c>
      <c r="K45" s="1" t="str">
        <f>IF(Start!$B$6="Ja","",IF(((J45-I45)*24)&gt;=5.5,"X",""))</f>
        <v/>
      </c>
      <c r="L45" s="1" t="str">
        <f t="shared" si="29"/>
        <v/>
      </c>
      <c r="M45" s="58"/>
      <c r="N45" s="21" t="str">
        <f t="shared" si="24"/>
        <v/>
      </c>
      <c r="O45" s="21" t="str">
        <f t="shared" si="25"/>
        <v/>
      </c>
      <c r="Q45" s="25"/>
      <c r="R45" s="78">
        <v>0.41666666666666669</v>
      </c>
      <c r="S45" s="78">
        <v>0.41666666666666669</v>
      </c>
      <c r="T45" s="1" t="str">
        <f>IF(Start!$B$6="Ja","",IF(((S45-R45)*24)&gt;=5.5,"X",""))</f>
        <v/>
      </c>
      <c r="U45" s="1" t="str">
        <f t="shared" si="30"/>
        <v/>
      </c>
      <c r="V45" s="58"/>
      <c r="W45" s="21" t="str">
        <f t="shared" si="26"/>
        <v/>
      </c>
      <c r="X45" s="21" t="str">
        <f t="shared" si="27"/>
        <v/>
      </c>
      <c r="Z45" s="70" t="str">
        <f>IF(SUMIFS(TrackingTime!H:H,TrackingTime!F:F,Timer!B45,TrackingTime!C:C,"Hovedkontoret")&gt;0,SUMIFS(TrackingTime!H:H,TrackingTime!F:F,Timer!B45,TrackingTime!C:C,"Hovedkontoret"),"")</f>
        <v/>
      </c>
      <c r="AA45" s="71" t="str">
        <f t="shared" si="4"/>
        <v/>
      </c>
      <c r="AB45" t="str">
        <f>IF(SUMIFS(TrackingTime!H:H,TrackingTime!F:F,Timer!B45,TrackingTime!C:C,Start!$F$3)&gt;0,SUMIFS(TrackingTime!H:H,TrackingTime!F:F,Timer!B45,TrackingTime!C:C,Start!$F$3),"")</f>
        <v/>
      </c>
      <c r="AC45" s="71" t="str">
        <f t="shared" si="6"/>
        <v/>
      </c>
    </row>
    <row r="46" spans="1:29" x14ac:dyDescent="0.25">
      <c r="A46" s="15"/>
      <c r="B46" s="4" t="s">
        <v>11</v>
      </c>
      <c r="C46" s="24"/>
      <c r="D46" s="24"/>
      <c r="E46" s="24">
        <f t="shared" ca="1" si="23"/>
        <v>0</v>
      </c>
      <c r="F46" s="24" t="str">
        <f>IFERROR(IF(YEAR(B46)=Start!$B$1,MONTH(B46),""),"")</f>
        <v/>
      </c>
      <c r="G46" s="64" t="str">
        <f>IFERROR(VLOOKUP(B46,Start!A$111:B$273,2,FALSE),"")</f>
        <v/>
      </c>
      <c r="H46" s="4"/>
      <c r="I46" s="4"/>
      <c r="J46" s="4"/>
      <c r="K46" s="4"/>
      <c r="L46" s="5">
        <f t="shared" si="9"/>
        <v>0</v>
      </c>
      <c r="N46" s="24"/>
      <c r="O46" s="39">
        <f t="shared" ref="O46" si="31">SUM(O39:O45)</f>
        <v>0</v>
      </c>
      <c r="P46" s="40"/>
      <c r="Q46" s="41"/>
      <c r="R46" s="4"/>
      <c r="S46" s="4"/>
      <c r="T46" s="4"/>
      <c r="U46" s="5">
        <f t="shared" ref="U46" si="32">SUM($U39:$U45)</f>
        <v>0</v>
      </c>
      <c r="V46" s="58"/>
      <c r="W46" s="39"/>
      <c r="X46" s="39">
        <f t="shared" ref="X46:X94" si="33">SUM(X39:X45)</f>
        <v>0</v>
      </c>
      <c r="Z46" s="70" t="str">
        <f>IF(SUMIFS(TrackingTime!H:H,TrackingTime!F:F,Timer!B46,TrackingTime!C:C,"Hovedkontoret")&gt;0,SUMIFS(TrackingTime!H:H,TrackingTime!F:F,Timer!B46,TrackingTime!C:C,"Hovedkontoret"),"")</f>
        <v/>
      </c>
      <c r="AA46" s="71" t="str">
        <f t="shared" si="4"/>
        <v/>
      </c>
      <c r="AB46" t="str">
        <f>IF(SUMIFS(TrackingTime!H:H,TrackingTime!F:F,Timer!B46,TrackingTime!C:C,Start!$F$3)&gt;0,SUMIFS(TrackingTime!H:H,TrackingTime!F:F,Timer!B46,TrackingTime!C:C,Start!$F$3),"")</f>
        <v/>
      </c>
      <c r="AC46" s="71" t="str">
        <f t="shared" si="6"/>
        <v/>
      </c>
    </row>
    <row r="47" spans="1:29" x14ac:dyDescent="0.25">
      <c r="A47" s="15"/>
      <c r="B47" t="s">
        <v>90</v>
      </c>
      <c r="E47">
        <f t="shared" ca="1" si="23"/>
        <v>0</v>
      </c>
      <c r="F47" t="str">
        <f>IFERROR(IF(YEAR(B47)=Start!$B$1,MONTH(B47),""),"")</f>
        <v/>
      </c>
      <c r="G47" s="64" t="str">
        <f>IFERROR(VLOOKUP(B47,Start!A$111:B$273,2,FALSE),"")</f>
        <v/>
      </c>
      <c r="L47" s="1">
        <f t="shared" si="10"/>
        <v>0</v>
      </c>
      <c r="M47" s="1"/>
      <c r="N47" s="1"/>
      <c r="O47" s="21">
        <f t="shared" ref="O47" si="34">L47</f>
        <v>0</v>
      </c>
      <c r="P47" s="40"/>
      <c r="Q47" s="21"/>
      <c r="U47" s="1">
        <f t="shared" ref="U47" si="35">SUMIFS(D39:D45,F39:F45,"&gt;0")</f>
        <v>0</v>
      </c>
      <c r="V47" s="1"/>
      <c r="W47" s="1"/>
      <c r="X47" s="21">
        <f>U47</f>
        <v>0</v>
      </c>
      <c r="Z47" s="70" t="str">
        <f>IF(SUMIFS(TrackingTime!H:H,TrackingTime!F:F,Timer!B47,TrackingTime!C:C,"Hovedkontoret")&gt;0,SUMIFS(TrackingTime!H:H,TrackingTime!F:F,Timer!B47,TrackingTime!C:C,"Hovedkontoret"),"")</f>
        <v/>
      </c>
      <c r="AA47" s="71" t="str">
        <f t="shared" si="4"/>
        <v/>
      </c>
      <c r="AB47" t="str">
        <f>IF(SUMIFS(TrackingTime!H:H,TrackingTime!F:F,Timer!B47,TrackingTime!C:C,Start!$F$3)&gt;0,SUMIFS(TrackingTime!H:H,TrackingTime!F:F,Timer!B47,TrackingTime!C:C,Start!$F$3),"")</f>
        <v/>
      </c>
      <c r="AC47" s="71" t="str">
        <f t="shared" si="6"/>
        <v/>
      </c>
    </row>
    <row r="48" spans="1:29" x14ac:dyDescent="0.25">
      <c r="A48" s="16">
        <f>B45-B39-1</f>
        <v>5</v>
      </c>
      <c r="B48" t="s">
        <v>117</v>
      </c>
      <c r="E48">
        <f t="shared" ca="1" si="23"/>
        <v>0</v>
      </c>
      <c r="F48" t="str">
        <f>IFERROR(IF(YEAR(B48)=Start!$B$1,MONTH(B48),""),"")</f>
        <v/>
      </c>
      <c r="G48" s="64" t="str">
        <f>IFERROR(VLOOKUP(B48,Start!A$111:B$273,2,FALSE),"")</f>
        <v/>
      </c>
      <c r="L48" s="77">
        <f t="shared" ca="1" si="11"/>
        <v>0</v>
      </c>
      <c r="O48" s="21">
        <f t="shared" ref="O48" si="36">O46-O47</f>
        <v>0</v>
      </c>
      <c r="P48" s="21"/>
      <c r="Q48" s="21"/>
      <c r="U48" s="1">
        <f t="shared" ref="U48" ca="1" si="37">U46-U47*(IF(NETWORKDAYS($B39,TODAY())&lt;0,0,IF(NETWORKDAYS($B39,TODAY())&lt;=$A48,NETWORKDAYS($B39,TODAY()),$A48)))/$A48</f>
        <v>0</v>
      </c>
      <c r="V48" s="58"/>
      <c r="W48" s="21"/>
      <c r="X48" s="21">
        <f>X46-X47</f>
        <v>0</v>
      </c>
      <c r="Z48" s="70" t="str">
        <f>IF(SUMIFS(TrackingTime!H:H,TrackingTime!F:F,Timer!B48,TrackingTime!C:C,"Hovedkontoret")&gt;0,SUMIFS(TrackingTime!H:H,TrackingTime!F:F,Timer!B48,TrackingTime!C:C,"Hovedkontoret"),"")</f>
        <v/>
      </c>
      <c r="AA48" s="71" t="str">
        <f t="shared" si="4"/>
        <v/>
      </c>
      <c r="AB48" t="str">
        <f>IF(SUMIFS(TrackingTime!H:H,TrackingTime!F:F,Timer!B48,TrackingTime!C:C,Start!$F$3)&gt;0,SUMIFS(TrackingTime!H:H,TrackingTime!F:F,Timer!B48,TrackingTime!C:C,Start!$F$3),"")</f>
        <v/>
      </c>
      <c r="AC48" s="71" t="str">
        <f t="shared" si="6"/>
        <v/>
      </c>
    </row>
    <row r="49" spans="1:29" x14ac:dyDescent="0.25">
      <c r="A49" s="15"/>
      <c r="E49">
        <f t="shared" ca="1" si="23"/>
        <v>1</v>
      </c>
      <c r="F49" t="str">
        <f>IFERROR(IF(YEAR(B49)=Start!$B$1,MONTH(B49),""),"")</f>
        <v/>
      </c>
      <c r="G49" s="64" t="str">
        <f>IFERROR(VLOOKUP(B49,Start!A$111:B$273,2,FALSE),"")</f>
        <v/>
      </c>
      <c r="O49" s="2"/>
      <c r="P49" s="2"/>
      <c r="U49" s="1"/>
      <c r="V49" s="7"/>
      <c r="X49" s="2"/>
      <c r="Z49" s="70" t="str">
        <f>IF(SUMIFS(TrackingTime!H:H,TrackingTime!F:F,Timer!B49,TrackingTime!C:C,"Hovedkontoret")&gt;0,SUMIFS(TrackingTime!H:H,TrackingTime!F:F,Timer!B49,TrackingTime!C:C,"Hovedkontoret"),"")</f>
        <v/>
      </c>
      <c r="AA49" s="71" t="str">
        <f t="shared" si="4"/>
        <v/>
      </c>
      <c r="AB49" t="str">
        <f>IF(SUMIFS(TrackingTime!H:H,TrackingTime!F:F,Timer!B49,TrackingTime!C:C,Start!$F$3)&gt;0,SUMIFS(TrackingTime!H:H,TrackingTime!F:F,Timer!B49,TrackingTime!C:C,Start!$F$3),"")</f>
        <v/>
      </c>
      <c r="AC49" s="71" t="str">
        <f t="shared" si="6"/>
        <v/>
      </c>
    </row>
    <row r="50" spans="1:29" x14ac:dyDescent="0.25">
      <c r="A50" s="2" t="s">
        <v>82</v>
      </c>
      <c r="B50" s="14" t="s">
        <v>83</v>
      </c>
      <c r="E50">
        <f t="shared" ca="1" si="23"/>
        <v>0</v>
      </c>
      <c r="F50" t="str">
        <f>IFERROR(IF(YEAR(B50)=Start!$B$1,MONTH(B50),""),"")</f>
        <v/>
      </c>
      <c r="G50" s="64" t="str">
        <f>IFERROR(VLOOKUP(B50,Start!A$111:B$273,2,FALSE),"")</f>
        <v/>
      </c>
      <c r="H50" s="2" t="s">
        <v>86</v>
      </c>
      <c r="I50" s="2" t="s">
        <v>125</v>
      </c>
      <c r="J50" s="2" t="s">
        <v>126</v>
      </c>
      <c r="K50" s="2" t="s">
        <v>127</v>
      </c>
      <c r="L50" s="3" t="s">
        <v>87</v>
      </c>
      <c r="M50" s="6"/>
      <c r="N50" s="2" t="s">
        <v>88</v>
      </c>
      <c r="O50" s="2" t="s">
        <v>89</v>
      </c>
      <c r="P50" s="2"/>
      <c r="Q50" s="2" t="s">
        <v>86</v>
      </c>
      <c r="R50" s="2" t="s">
        <v>125</v>
      </c>
      <c r="S50" s="2" t="s">
        <v>126</v>
      </c>
      <c r="T50" s="2" t="s">
        <v>127</v>
      </c>
      <c r="U50" s="3" t="s">
        <v>87</v>
      </c>
      <c r="V50" s="6"/>
      <c r="W50" s="2" t="s">
        <v>88</v>
      </c>
      <c r="X50" s="2" t="s">
        <v>89</v>
      </c>
      <c r="Z50" s="70" t="str">
        <f>IF(SUMIFS(TrackingTime!H:H,TrackingTime!F:F,Timer!B50,TrackingTime!C:C,"Hovedkontoret")&gt;0,SUMIFS(TrackingTime!H:H,TrackingTime!F:F,Timer!B50,TrackingTime!C:C,"Hovedkontoret"),"")</f>
        <v/>
      </c>
      <c r="AA50" s="71" t="str">
        <f t="shared" si="4"/>
        <v/>
      </c>
      <c r="AB50" t="str">
        <f>IF(SUMIFS(TrackingTime!H:H,TrackingTime!F:F,Timer!B50,TrackingTime!C:C,Start!$F$3)&gt;0,SUMIFS(TrackingTime!H:H,TrackingTime!F:F,Timer!B50,TrackingTime!C:C,Start!$F$3),"")</f>
        <v/>
      </c>
      <c r="AC50" s="71" t="str">
        <f t="shared" si="6"/>
        <v/>
      </c>
    </row>
    <row r="51" spans="1:29" x14ac:dyDescent="0.25">
      <c r="A51" s="15">
        <f>WEEKNUM(B51,21)</f>
        <v>4</v>
      </c>
      <c r="B51" s="63">
        <f>B45+(DAY(1))</f>
        <v>46041</v>
      </c>
      <c r="C51" t="str">
        <f>IFERROR(IF(OR(L51="Fri",L51="Ferie",L51="Syk",L51="Omsorg",B51&lt;Start!$B$7),0,IF(IFERROR(MATCH(B51,Start!A$253:A$273,0),0)&gt;0,VLOOKUP(B51,Start!A$253:F$273,3,FALSE)/100*Start!$B$4,VLOOKUP(WEEKDAY(B51,2),Start!A$240:F$246,4,FALSE))),"")</f>
        <v/>
      </c>
      <c r="D51" t="str">
        <f>IFERROR(IF(OR(U51="Fri",U51="Ferie",U51="Syk",U51="Omsorg",B51&lt;Start!$F$7),0,IF(IFERROR(MATCH(B51,Start!A$253:A$273,0),0)&gt;0,VLOOKUP(B51,Start!A$253:F$273,3,FALSE)/100*Start!$F$4,VLOOKUP(WEEKDAY(B51,2),Start!A$240:F$246,6,FALSE))),"")</f>
        <v/>
      </c>
      <c r="E51">
        <f t="shared" ca="1" si="23"/>
        <v>0</v>
      </c>
      <c r="F51">
        <f>IFERROR(IF(YEAR(B51)=Start!$B$1,MONTH(B51),""),"")</f>
        <v>1</v>
      </c>
      <c r="G51" s="64" t="str">
        <f>IFERROR(VLOOKUP(B51,Start!A$111:B$273,2,FALSE),"")</f>
        <v/>
      </c>
      <c r="H51" s="21"/>
      <c r="I51" s="78">
        <v>0.33333333333333331</v>
      </c>
      <c r="J51" s="78">
        <v>0.33333333333333331</v>
      </c>
      <c r="K51" s="1" t="str">
        <f>IF(Start!$B$6="Ja","",IF(((J51-I51)*24)&gt;=5.5,"X",""))</f>
        <v/>
      </c>
      <c r="L51" s="1" t="str">
        <f>IF(_xlfn.IFNA(MATCH($A51,Start!$H$3:$H$11,0),0)&gt;0,"Ferie",IFERROR(IF(VLOOKUP(B51,Start!A$165:B$234,2,FALSE)&gt;0,"Fri",0),IF(AND((J51-I51)=0,Z51=""),"",MAX((IF(K51="X",(J51-I51)*24-0.5,(J51-I51)*24)),Z51))))</f>
        <v/>
      </c>
      <c r="M51" s="58"/>
      <c r="N51" s="21" t="str">
        <f t="shared" ref="N51:N57" si="38">IF(H51=0,"",H51)</f>
        <v/>
      </c>
      <c r="O51" s="21" t="str">
        <f t="shared" ref="O51:O57" si="39">IF(L51=0,"",L51)</f>
        <v/>
      </c>
      <c r="P51" s="2"/>
      <c r="Q51" s="21"/>
      <c r="R51" s="78">
        <v>0.33333333333333331</v>
      </c>
      <c r="S51" s="78">
        <v>0.33333333333333331</v>
      </c>
      <c r="T51" s="1" t="str">
        <f>IF(Start!$B$6="Ja","",IF(((S51-R51)*24)&gt;=5.5,"X",""))</f>
        <v/>
      </c>
      <c r="U51" s="1" t="str">
        <f>IF(_xlfn.IFNA(MATCH($A$15,Start!$H$3:$H$11,0),0)&gt;0,"Ferie",(IF(L51="fri","Fri",(IF(L51="syk","Syk",IF(L51="Ferie","Ferie",IF(AND((S51-R51)=0,AB51=""),"",MAX((IF(T51="X",(S51-R51)*24-0.5,(S51-R51)*24)),AB51))))))))</f>
        <v/>
      </c>
      <c r="V51" s="58"/>
      <c r="W51" s="21" t="str">
        <f t="shared" ref="W51:W57" si="40">IF(Q51=0,"",Q51)</f>
        <v/>
      </c>
      <c r="X51" s="21" t="str">
        <f t="shared" ref="X51:X57" si="41">IF(U51=0,"",U51)</f>
        <v/>
      </c>
      <c r="Z51" s="70" t="str">
        <f>IF(SUMIFS(TrackingTime!H:H,TrackingTime!F:F,Timer!B51,TrackingTime!C:C,"Hovedkontoret")&gt;0,SUMIFS(TrackingTime!H:H,TrackingTime!F:F,Timer!B51,TrackingTime!C:C,"Hovedkontoret"),"")</f>
        <v/>
      </c>
      <c r="AA51" s="71" t="str">
        <f t="shared" si="4"/>
        <v/>
      </c>
      <c r="AB51" t="str">
        <f>IF(SUMIFS(TrackingTime!H:H,TrackingTime!F:F,Timer!B51,TrackingTime!C:C,Start!$F$3)&gt;0,SUMIFS(TrackingTime!H:H,TrackingTime!F:F,Timer!B51,TrackingTime!C:C,Start!$F$3),"")</f>
        <v/>
      </c>
      <c r="AC51" s="71" t="str">
        <f t="shared" si="6"/>
        <v/>
      </c>
    </row>
    <row r="52" spans="1:29" x14ac:dyDescent="0.25">
      <c r="A52" s="15"/>
      <c r="B52" s="63">
        <f>B51+DAY(1)</f>
        <v>46042</v>
      </c>
      <c r="C52" t="str">
        <f>IFERROR(IF(OR(L52="Fri",L52="Ferie",L52="Syk",L52="Omsorg",B52&lt;Start!$B$7),0,IF(IFERROR(MATCH(B52,Start!A$253:A$273,0),0)&gt;0,VLOOKUP(B52,Start!A$253:F$273,3,FALSE)/100*Start!$B$4,VLOOKUP(WEEKDAY(B52,2),Start!A$240:F$246,4,FALSE))),"")</f>
        <v/>
      </c>
      <c r="D52" t="str">
        <f>IFERROR(IF(OR(U52="Fri",U52="Ferie",U52="Syk",U52="Omsorg",B52&lt;Start!$F$7),0,IF(IFERROR(MATCH(B52,Start!A$253:A$273,0),0)&gt;0,VLOOKUP(B52,Start!A$253:F$273,3,FALSE)/100*Start!$F$4,VLOOKUP(WEEKDAY(B52,2),Start!A$240:F$246,6,FALSE))),"")</f>
        <v/>
      </c>
      <c r="E52">
        <f t="shared" ca="1" si="23"/>
        <v>0</v>
      </c>
      <c r="F52">
        <f>IFERROR(IF(YEAR(B52)=Start!$B$1,MONTH(B52),""),"")</f>
        <v>1</v>
      </c>
      <c r="G52" s="64" t="str">
        <f>IFERROR(VLOOKUP(B52,Start!A$111:B$273,2,FALSE),"")</f>
        <v/>
      </c>
      <c r="H52" s="21"/>
      <c r="I52" s="78">
        <v>0.33333333333333331</v>
      </c>
      <c r="J52" s="78">
        <v>0.33333333333333331</v>
      </c>
      <c r="K52" s="1" t="str">
        <f>IF(Start!$B$6="Ja","",IF(((J52-I52)*24)&gt;=5.5,"X",""))</f>
        <v/>
      </c>
      <c r="L52" s="1" t="str">
        <f>IF(_xlfn.IFNA(MATCH($A51,Start!$H$3:$H$11,0),0)&gt;0,"Ferie",IFERROR(IF(VLOOKUP($B52,Start!$A$165:$B$234,2,FALSE)&gt;0,"Fri",0),IF(AND((J52-I52)=0,Z52=""),"",MAX((IF(K52="X",(J52-I52)*24-0.5,(J52-I52)*24)),Z52))))</f>
        <v/>
      </c>
      <c r="M52" s="58"/>
      <c r="N52" s="21" t="str">
        <f t="shared" si="38"/>
        <v/>
      </c>
      <c r="O52" s="21" t="str">
        <f t="shared" si="39"/>
        <v/>
      </c>
      <c r="P52" s="2"/>
      <c r="Q52" s="21"/>
      <c r="R52" s="78">
        <v>0.33333333333333331</v>
      </c>
      <c r="S52" s="78">
        <v>0.33333333333333331</v>
      </c>
      <c r="T52" s="1" t="str">
        <f>IF(Start!$B$6="Ja","",IF(((S52-R52)*24)&gt;=5.5,"X",""))</f>
        <v/>
      </c>
      <c r="U52" s="1" t="str">
        <f>IF(_xlfn.IFNA(MATCH($A$15,Start!$H$3:$H$11,0),0)&gt;0,"Ferie",(IF(L52="fri","Fri",(IF(L52="syk","Syk",IF(L52="Ferie","Ferie",IF(AND((S52-R52)=0,AB52=""),"",MAX((IF(T52="X",(S52-R52)*24-0.5,(S52-R52)*24)),AB52))))))))</f>
        <v/>
      </c>
      <c r="V52" s="58"/>
      <c r="W52" s="21" t="str">
        <f t="shared" si="40"/>
        <v/>
      </c>
      <c r="X52" s="21" t="str">
        <f t="shared" si="41"/>
        <v/>
      </c>
      <c r="Z52" s="70" t="str">
        <f>IF(SUMIFS(TrackingTime!H:H,TrackingTime!F:F,Timer!B52,TrackingTime!C:C,"Hovedkontoret")&gt;0,SUMIFS(TrackingTime!H:H,TrackingTime!F:F,Timer!B52,TrackingTime!C:C,"Hovedkontoret"),"")</f>
        <v/>
      </c>
      <c r="AA52" s="71" t="str">
        <f t="shared" si="4"/>
        <v/>
      </c>
      <c r="AB52" t="str">
        <f>IF(SUMIFS(TrackingTime!H:H,TrackingTime!F:F,Timer!B52,TrackingTime!C:C,Start!$F$3)&gt;0,SUMIFS(TrackingTime!H:H,TrackingTime!F:F,Timer!B52,TrackingTime!C:C,Start!$F$3),"")</f>
        <v/>
      </c>
      <c r="AC52" s="71" t="str">
        <f t="shared" si="6"/>
        <v/>
      </c>
    </row>
    <row r="53" spans="1:29" x14ac:dyDescent="0.25">
      <c r="A53" s="15"/>
      <c r="B53" s="63">
        <f t="shared" ref="B53:B57" si="42">B52+DAY(1)</f>
        <v>46043</v>
      </c>
      <c r="C53" t="str">
        <f>IFERROR(IF(OR(L53="Fri",L53="Ferie",L53="Syk",L53="Omsorg",B53&lt;Start!$B$7),0,IF(IFERROR(MATCH(B53,Start!A$253:A$273,0),0)&gt;0,VLOOKUP(B53,Start!A$253:F$273,3,FALSE)/100*Start!$B$4,VLOOKUP(WEEKDAY(B53,2),Start!A$240:F$246,4,FALSE))),"")</f>
        <v/>
      </c>
      <c r="D53" t="str">
        <f>IFERROR(IF(OR(U53="Fri",U53="Ferie",U53="Syk",U53="Omsorg",B53&lt;Start!$F$7),0,IF(IFERROR(MATCH(B53,Start!A$253:A$273,0),0)&gt;0,VLOOKUP(B53,Start!A$253:F$273,3,FALSE)/100*Start!$F$4,VLOOKUP(WEEKDAY(B53,2),Start!A$240:F$246,6,FALSE))),"")</f>
        <v/>
      </c>
      <c r="E53">
        <f t="shared" ca="1" si="23"/>
        <v>0</v>
      </c>
      <c r="F53">
        <f>IFERROR(IF(YEAR(B53)=Start!$B$1,MONTH(B53),""),"")</f>
        <v>1</v>
      </c>
      <c r="G53" s="64" t="str">
        <f>IFERROR(VLOOKUP(B53,Start!A$111:B$273,2,FALSE),"")</f>
        <v/>
      </c>
      <c r="H53" s="21"/>
      <c r="I53" s="78">
        <v>0.33333333333333331</v>
      </c>
      <c r="J53" s="78">
        <v>0.33333333333333331</v>
      </c>
      <c r="K53" s="1" t="str">
        <f>IF(Start!$B$6="Ja","",IF(((J53-I53)*24)&gt;=5.5,"X",""))</f>
        <v/>
      </c>
      <c r="L53" s="1" t="str">
        <f>IF(_xlfn.IFNA(MATCH($A51,Start!$H$3:$H$11,0),0)&gt;0,"Ferie",IFERROR(IF(VLOOKUP(B53,Start!A$165:B$234,2,FALSE)&gt;0,"Fri",0),IF(AND((J53-I53)=0,Z53=""),"",MAX((IF(K53="X",(J53-I53)*24-0.5,(J53-I53)*24)),Z53))))</f>
        <v/>
      </c>
      <c r="M53" s="58"/>
      <c r="N53" s="21" t="str">
        <f t="shared" si="38"/>
        <v/>
      </c>
      <c r="O53" s="21" t="str">
        <f t="shared" si="39"/>
        <v/>
      </c>
      <c r="P53" s="2"/>
      <c r="Q53" s="21"/>
      <c r="R53" s="78">
        <v>0.33333333333333331</v>
      </c>
      <c r="S53" s="78">
        <v>0.33333333333333331</v>
      </c>
      <c r="T53" s="1" t="str">
        <f>IF(Start!$B$6="Ja","",IF(((S53-R53)*24)&gt;=5.5,"X",""))</f>
        <v/>
      </c>
      <c r="U53" s="1" t="str">
        <f>IF(_xlfn.IFNA(MATCH($A$15,Start!$H$3:$H$11,0),0)&gt;0,"Ferie",(IF(L53="fri","Fri",(IF(L53="syk","Syk",IF(L53="Ferie","Ferie",IF(AND((S53-R53)=0,AB53=""),"",MAX((IF(T53="X",(S53-R53)*24-0.5,(S53-R53)*24)),AB53))))))))</f>
        <v/>
      </c>
      <c r="V53" s="58"/>
      <c r="W53" s="21" t="str">
        <f t="shared" si="40"/>
        <v/>
      </c>
      <c r="X53" s="21" t="str">
        <f t="shared" si="41"/>
        <v/>
      </c>
      <c r="Z53" s="70" t="str">
        <f>IF(SUMIFS(TrackingTime!H:H,TrackingTime!F:F,Timer!B53,TrackingTime!C:C,"Hovedkontoret")&gt;0,SUMIFS(TrackingTime!H:H,TrackingTime!F:F,Timer!B53,TrackingTime!C:C,"Hovedkontoret"),"")</f>
        <v/>
      </c>
      <c r="AA53" s="71" t="str">
        <f t="shared" si="4"/>
        <v/>
      </c>
      <c r="AB53" t="str">
        <f>IF(SUMIFS(TrackingTime!H:H,TrackingTime!F:F,Timer!B53,TrackingTime!C:C,Start!$F$3)&gt;0,SUMIFS(TrackingTime!H:H,TrackingTime!F:F,Timer!B53,TrackingTime!C:C,Start!$F$3),"")</f>
        <v/>
      </c>
      <c r="AC53" s="71" t="str">
        <f t="shared" si="6"/>
        <v/>
      </c>
    </row>
    <row r="54" spans="1:29" x14ac:dyDescent="0.25">
      <c r="A54" s="15"/>
      <c r="B54" s="63">
        <f t="shared" si="42"/>
        <v>46044</v>
      </c>
      <c r="C54" t="str">
        <f>IFERROR(IF(OR(L54="Fri",L54="Ferie",L54="Syk",L54="Omsorg",B54&lt;Start!$B$7),0,IF(IFERROR(MATCH(B54,Start!A$253:A$273,0),0)&gt;0,VLOOKUP(B54,Start!A$253:F$273,3,FALSE)/100*Start!$B$4,VLOOKUP(WEEKDAY(B54,2),Start!A$240:F$246,4,FALSE))),"")</f>
        <v/>
      </c>
      <c r="D54" t="str">
        <f>IFERROR(IF(OR(U54="Fri",U54="Ferie",U54="Syk",U54="Omsorg",B54&lt;Start!$F$7),0,IF(IFERROR(MATCH(B54,Start!A$253:A$273,0),0)&gt;0,VLOOKUP(B54,Start!A$253:F$273,3,FALSE)/100*Start!$F$4,VLOOKUP(WEEKDAY(B54,2),Start!A$240:F$246,6,FALSE))),"")</f>
        <v/>
      </c>
      <c r="E54">
        <f t="shared" ca="1" si="23"/>
        <v>0</v>
      </c>
      <c r="F54">
        <f>IFERROR(IF(YEAR(B54)=Start!$B$1,MONTH(B54),""),"")</f>
        <v>1</v>
      </c>
      <c r="G54" s="64" t="str">
        <f>IFERROR(VLOOKUP(B54,Start!A$111:B$273,2,FALSE),"")</f>
        <v/>
      </c>
      <c r="H54" s="21"/>
      <c r="I54" s="78">
        <v>0.33333333333333331</v>
      </c>
      <c r="J54" s="78">
        <v>0.33333333333333331</v>
      </c>
      <c r="K54" s="1" t="str">
        <f>IF(Start!$B$6="Ja","",IF(((J54-I54)*24)&gt;=5.5,"X",""))</f>
        <v/>
      </c>
      <c r="L54" s="1" t="str">
        <f>IF(_xlfn.IFNA(MATCH($A51,Start!$H$3:$H$11,0),0)&gt;0,"Ferie",IFERROR(IF(VLOOKUP(B54,Start!A$165:B$234,2,FALSE)&gt;0,"Fri",0),IF(AND((J54-I54)=0,Z54=""),"",MAX((IF(K54="X",(J54-I54)*24-0.5,(J54-I54)*24)),Z54))))</f>
        <v/>
      </c>
      <c r="M54" s="58"/>
      <c r="N54" s="21" t="str">
        <f t="shared" si="38"/>
        <v/>
      </c>
      <c r="O54" s="21" t="str">
        <f t="shared" si="39"/>
        <v/>
      </c>
      <c r="P54" s="2"/>
      <c r="Q54" s="21"/>
      <c r="R54" s="78">
        <v>0.33333333333333331</v>
      </c>
      <c r="S54" s="78">
        <v>0.33333333333333331</v>
      </c>
      <c r="T54" s="1" t="str">
        <f>IF(Start!$B$6="Ja","",IF(((S54-R54)*24)&gt;=5.5,"X",""))</f>
        <v/>
      </c>
      <c r="U54" s="1" t="str">
        <f>IF(_xlfn.IFNA(MATCH($A$15,Start!$H$3:$H$11,0),0)&gt;0,"Ferie",(IF(L54="fri","Fri",(IF(L54="syk","Syk",IF(L54="Ferie","Ferie",IF(AND((S54-R54)=0,AB54=""),"",MAX((IF(T54="X",(S54-R54)*24-0.5,(S54-R54)*24)),AB54))))))))</f>
        <v/>
      </c>
      <c r="V54" s="58"/>
      <c r="W54" s="21" t="str">
        <f t="shared" si="40"/>
        <v/>
      </c>
      <c r="X54" s="21" t="str">
        <f t="shared" si="41"/>
        <v/>
      </c>
      <c r="Z54" s="70" t="str">
        <f>IF(SUMIFS(TrackingTime!H:H,TrackingTime!F:F,Timer!B54,TrackingTime!C:C,"Hovedkontoret")&gt;0,SUMIFS(TrackingTime!H:H,TrackingTime!F:F,Timer!B54,TrackingTime!C:C,"Hovedkontoret"),"")</f>
        <v/>
      </c>
      <c r="AA54" s="71" t="str">
        <f t="shared" si="4"/>
        <v/>
      </c>
      <c r="AB54" t="str">
        <f>IF(SUMIFS(TrackingTime!H:H,TrackingTime!F:F,Timer!B54,TrackingTime!C:C,Start!$F$3)&gt;0,SUMIFS(TrackingTime!H:H,TrackingTime!F:F,Timer!B54,TrackingTime!C:C,Start!$F$3),"")</f>
        <v/>
      </c>
      <c r="AC54" s="71" t="str">
        <f t="shared" si="6"/>
        <v/>
      </c>
    </row>
    <row r="55" spans="1:29" x14ac:dyDescent="0.25">
      <c r="A55" s="15"/>
      <c r="B55" s="63">
        <f t="shared" si="42"/>
        <v>46045</v>
      </c>
      <c r="C55" t="str">
        <f>IFERROR(IF(OR(L55="Fri",L55="Ferie",L55="Syk",L55="Omsorg",B55&lt;Start!$B$7),0,IF(IFERROR(MATCH(B55,Start!A$253:A$273,0),0)&gt;0,VLOOKUP(B55,Start!A$253:F$273,3,FALSE)/100*Start!$B$4,VLOOKUP(WEEKDAY(B55,2),Start!A$240:F$246,4,FALSE))),"")</f>
        <v/>
      </c>
      <c r="D55" t="str">
        <f>IFERROR(IF(OR(U55="Fri",U55="Ferie",U55="Syk",U55="Omsorg",B55&lt;Start!$F$7),0,IF(IFERROR(MATCH(B55,Start!A$253:A$273,0),0)&gt;0,VLOOKUP(B55,Start!A$253:F$273,3,FALSE)/100*Start!$F$4,VLOOKUP(WEEKDAY(B55,2),Start!A$240:F$246,6,FALSE))),"")</f>
        <v/>
      </c>
      <c r="E55">
        <f t="shared" ca="1" si="23"/>
        <v>0</v>
      </c>
      <c r="F55">
        <f>IFERROR(IF(YEAR(B55)=Start!$B$1,MONTH(B55),""),"")</f>
        <v>1</v>
      </c>
      <c r="G55" s="64" t="str">
        <f>IFERROR(VLOOKUP(B55,Start!A$111:B$273,2,FALSE),"")</f>
        <v/>
      </c>
      <c r="H55" s="21"/>
      <c r="I55" s="78">
        <v>0.33333333333333331</v>
      </c>
      <c r="J55" s="78">
        <v>0.33333333333333331</v>
      </c>
      <c r="K55" s="1" t="str">
        <f>IF(Start!$B$6="Ja","",IF(((J55-I55)*24)&gt;=5.5,"X",""))</f>
        <v/>
      </c>
      <c r="L55" s="1" t="str">
        <f>IF(_xlfn.IFNA(MATCH($A51,Start!$H$3:$H$11,0),0)&gt;0,"Ferie",IFERROR(IF(VLOOKUP(B55,Start!A$165:B$234,2,FALSE)&gt;0,"Fri",0),IF(AND((J55-I55)=0,Z55=""),"",MAX((IF(K55="X",(J55-I55)*24-0.5,(J55-I55)*24)),Z55))))</f>
        <v/>
      </c>
      <c r="M55" s="58"/>
      <c r="N55" s="21" t="str">
        <f t="shared" si="38"/>
        <v/>
      </c>
      <c r="O55" s="21" t="str">
        <f t="shared" si="39"/>
        <v/>
      </c>
      <c r="P55" s="2"/>
      <c r="Q55" s="21"/>
      <c r="R55" s="78">
        <v>0.33333333333333331</v>
      </c>
      <c r="S55" s="78">
        <v>0.33333333333333331</v>
      </c>
      <c r="T55" s="1" t="str">
        <f>IF(Start!$B$6="Ja","",IF(((S55-R55)*24)&gt;=5.5,"X",""))</f>
        <v/>
      </c>
      <c r="U55" s="1" t="str">
        <f>IF(_xlfn.IFNA(MATCH($A$15,Start!$H$3:$H$11,0),0)&gt;0,"Ferie",(IF(L55="fri","Fri",(IF(L55="syk","Syk",IF(L55="Ferie","Ferie",IF(AND((S55-R55)=0,AB55=""),"",MAX((IF(T55="X",(S55-R55)*24-0.5,(S55-R55)*24)),AB55))))))))</f>
        <v/>
      </c>
      <c r="V55" s="58"/>
      <c r="W55" s="21" t="str">
        <f t="shared" si="40"/>
        <v/>
      </c>
      <c r="X55" s="21" t="str">
        <f t="shared" si="41"/>
        <v/>
      </c>
      <c r="Z55" s="70" t="str">
        <f>IF(SUMIFS(TrackingTime!H:H,TrackingTime!F:F,Timer!B55,TrackingTime!C:C,"Hovedkontoret")&gt;0,SUMIFS(TrackingTime!H:H,TrackingTime!F:F,Timer!B55,TrackingTime!C:C,"Hovedkontoret"),"")</f>
        <v/>
      </c>
      <c r="AA55" s="71" t="str">
        <f t="shared" si="4"/>
        <v/>
      </c>
      <c r="AB55" t="str">
        <f>IF(SUMIFS(TrackingTime!H:H,TrackingTime!F:F,Timer!B55,TrackingTime!C:C,Start!$F$3)&gt;0,SUMIFS(TrackingTime!H:H,TrackingTime!F:F,Timer!B55,TrackingTime!C:C,Start!$F$3),"")</f>
        <v/>
      </c>
      <c r="AC55" s="71" t="str">
        <f t="shared" si="6"/>
        <v/>
      </c>
    </row>
    <row r="56" spans="1:29" x14ac:dyDescent="0.25">
      <c r="A56" s="15"/>
      <c r="B56" s="63">
        <f t="shared" si="42"/>
        <v>46046</v>
      </c>
      <c r="C56">
        <f>IFERROR(IF(OR(L56="Fri",L56="Ferie",L56="Syk",L56="Omsorg",B56&lt;Start!$B$7),0,IF(IFERROR(MATCH(B56,Start!A$253:A$273,0),0)&gt;0,VLOOKUP(B56,Start!A$253:F$273,3,FALSE)/100*Start!$B$4,VLOOKUP(WEEKDAY(B56,2),Start!A$240:F$246,4,FALSE))),"")</f>
        <v>0</v>
      </c>
      <c r="D56">
        <f>IFERROR(IF(OR(U56="Fri",U56="Ferie",U56="Syk",U56="Omsorg",B56&lt;Start!$F$7),0,IF(IFERROR(MATCH(B56,Start!A$253:A$273,0),0)&gt;0,VLOOKUP(B56,Start!A$253:F$273,3,FALSE)/100*Start!$F$4,VLOOKUP(WEEKDAY(B56,2),Start!A$240:F$246,6,FALSE))),"")</f>
        <v>0</v>
      </c>
      <c r="E56">
        <f t="shared" ca="1" si="23"/>
        <v>0</v>
      </c>
      <c r="F56">
        <f>IFERROR(IF(YEAR(B56)=Start!$B$1,MONTH(B56),""),"")</f>
        <v>1</v>
      </c>
      <c r="G56" s="64" t="str">
        <f>IFERROR(VLOOKUP(B56,Start!A$111:B$273,2,FALSE),"")</f>
        <v/>
      </c>
      <c r="H56" s="21"/>
      <c r="I56" s="78">
        <v>0.41666666666666669</v>
      </c>
      <c r="J56" s="78">
        <v>0.41666666666666669</v>
      </c>
      <c r="K56" s="1" t="str">
        <f>IF(Start!$B$6="Ja","",IF(((J56-I56)*24)&gt;=5.5,"X",""))</f>
        <v/>
      </c>
      <c r="L56" s="1" t="str">
        <f t="shared" ref="L56:L57" si="43">IF(AND((J56-I56)=0,Z56=""),"",MAX((IF(K56="X",(J56-I56)*24-0.5,(J56-I56)*24)),Z56))</f>
        <v/>
      </c>
      <c r="M56" s="58"/>
      <c r="N56" s="21" t="str">
        <f t="shared" si="38"/>
        <v/>
      </c>
      <c r="O56" s="21" t="str">
        <f t="shared" si="39"/>
        <v/>
      </c>
      <c r="P56" s="2"/>
      <c r="Q56" s="21"/>
      <c r="R56" s="78">
        <v>0.41666666666666669</v>
      </c>
      <c r="S56" s="78">
        <v>0.41666666666666669</v>
      </c>
      <c r="T56" s="1" t="str">
        <f>IF(Start!$B$6="Ja","",IF(((S56-R56)*24)&gt;=5.5,"X",""))</f>
        <v/>
      </c>
      <c r="U56" s="1" t="str">
        <f t="shared" ref="U56:U57" si="44">IF(AND((S56-R56)=0,AB56=""),"",MAX((IF(T56="X",(S56-R56)*24-0.5,(S56-R56)*24)),AB56))</f>
        <v/>
      </c>
      <c r="V56" s="58"/>
      <c r="W56" s="21" t="str">
        <f t="shared" si="40"/>
        <v/>
      </c>
      <c r="X56" s="21" t="str">
        <f t="shared" si="41"/>
        <v/>
      </c>
      <c r="Z56" s="70" t="str">
        <f>IF(SUMIFS(TrackingTime!H:H,TrackingTime!F:F,Timer!B56,TrackingTime!C:C,"Hovedkontoret")&gt;0,SUMIFS(TrackingTime!H:H,TrackingTime!F:F,Timer!B56,TrackingTime!C:C,"Hovedkontoret"),"")</f>
        <v/>
      </c>
      <c r="AA56" s="71" t="str">
        <f t="shared" si="4"/>
        <v/>
      </c>
      <c r="AB56" t="str">
        <f>IF(SUMIFS(TrackingTime!H:H,TrackingTime!F:F,Timer!B56,TrackingTime!C:C,Start!$F$3)&gt;0,SUMIFS(TrackingTime!H:H,TrackingTime!F:F,Timer!B56,TrackingTime!C:C,Start!$F$3),"")</f>
        <v/>
      </c>
      <c r="AC56" s="71" t="str">
        <f t="shared" si="6"/>
        <v/>
      </c>
    </row>
    <row r="57" spans="1:29" x14ac:dyDescent="0.25">
      <c r="A57" s="15"/>
      <c r="B57" s="63">
        <f t="shared" si="42"/>
        <v>46047</v>
      </c>
      <c r="C57">
        <f>IFERROR(IF(OR(L57="Fri",L57="Ferie",L57="Syk",L57="Omsorg",B57&lt;Start!$B$7),0,IF(IFERROR(MATCH(B57,Start!A$253:A$273,0),0)&gt;0,VLOOKUP(B57,Start!A$253:F$273,3,FALSE)/100*Start!$B$4,VLOOKUP(WEEKDAY(B57,2),Start!A$240:F$246,4,FALSE))),"")</f>
        <v>0</v>
      </c>
      <c r="D57">
        <f>IFERROR(IF(OR(U57="Fri",U57="Ferie",U57="Syk",U57="Omsorg",B57&lt;Start!$F$7),0,IF(IFERROR(MATCH(B57,Start!A$253:A$273,0),0)&gt;0,VLOOKUP(B57,Start!A$253:F$273,3,FALSE)/100*Start!$F$4,VLOOKUP(WEEKDAY(B57,2),Start!A$240:F$246,6,FALSE))),"")</f>
        <v>0</v>
      </c>
      <c r="E57">
        <f t="shared" ca="1" si="23"/>
        <v>0</v>
      </c>
      <c r="F57">
        <f>IFERROR(IF(YEAR(B57)=Start!$B$1,MONTH(B57),""),"")</f>
        <v>1</v>
      </c>
      <c r="G57" s="64" t="str">
        <f>IFERROR(VLOOKUP(B57,Start!A$111:B$273,2,FALSE),"")</f>
        <v/>
      </c>
      <c r="H57" s="25"/>
      <c r="I57" s="78">
        <v>0.41666666666666669</v>
      </c>
      <c r="J57" s="78">
        <v>0.41666666666666669</v>
      </c>
      <c r="K57" s="1" t="str">
        <f>IF(Start!$B$6="Ja","",IF(((J57-I57)*24)&gt;=5.5,"X",""))</f>
        <v/>
      </c>
      <c r="L57" s="1" t="str">
        <f t="shared" si="43"/>
        <v/>
      </c>
      <c r="M57" s="58"/>
      <c r="N57" s="21" t="str">
        <f t="shared" si="38"/>
        <v/>
      </c>
      <c r="O57" s="21" t="str">
        <f t="shared" si="39"/>
        <v/>
      </c>
      <c r="Q57" s="25"/>
      <c r="R57" s="78">
        <v>0.41666666666666669</v>
      </c>
      <c r="S57" s="78">
        <v>0.41666666666666669</v>
      </c>
      <c r="T57" s="1" t="str">
        <f>IF(Start!$B$6="Ja","",IF(((S57-R57)*24)&gt;=5.5,"X",""))</f>
        <v/>
      </c>
      <c r="U57" s="1" t="str">
        <f t="shared" si="44"/>
        <v/>
      </c>
      <c r="V57" s="58"/>
      <c r="W57" s="21" t="str">
        <f t="shared" si="40"/>
        <v/>
      </c>
      <c r="X57" s="21" t="str">
        <f t="shared" si="41"/>
        <v/>
      </c>
      <c r="Z57" s="70" t="str">
        <f>IF(SUMIFS(TrackingTime!H:H,TrackingTime!F:F,Timer!B57,TrackingTime!C:C,"Hovedkontoret")&gt;0,SUMIFS(TrackingTime!H:H,TrackingTime!F:F,Timer!B57,TrackingTime!C:C,"Hovedkontoret"),"")</f>
        <v/>
      </c>
      <c r="AA57" s="71" t="str">
        <f t="shared" si="4"/>
        <v/>
      </c>
      <c r="AB57" t="str">
        <f>IF(SUMIFS(TrackingTime!H:H,TrackingTime!F:F,Timer!B57,TrackingTime!C:C,Start!$F$3)&gt;0,SUMIFS(TrackingTime!H:H,TrackingTime!F:F,Timer!B57,TrackingTime!C:C,Start!$F$3),"")</f>
        <v/>
      </c>
      <c r="AC57" s="71" t="str">
        <f t="shared" si="6"/>
        <v/>
      </c>
    </row>
    <row r="58" spans="1:29" x14ac:dyDescent="0.25">
      <c r="A58" s="15"/>
      <c r="B58" s="4" t="s">
        <v>11</v>
      </c>
      <c r="C58" s="24"/>
      <c r="D58" s="24"/>
      <c r="E58" s="24">
        <f t="shared" ca="1" si="23"/>
        <v>0</v>
      </c>
      <c r="F58" s="24" t="str">
        <f>IFERROR(IF(YEAR(B58)=Start!$B$1,MONTH(B58),""),"")</f>
        <v/>
      </c>
      <c r="G58" s="64" t="str">
        <f>IFERROR(VLOOKUP(B58,Start!A$111:B$273,2,FALSE),"")</f>
        <v/>
      </c>
      <c r="H58" s="4"/>
      <c r="I58" s="4"/>
      <c r="J58" s="4"/>
      <c r="K58" s="4"/>
      <c r="L58" s="5">
        <f t="shared" si="9"/>
        <v>0</v>
      </c>
      <c r="N58" s="24"/>
      <c r="O58" s="39">
        <f t="shared" ref="O58" si="45">SUM(O51:O57)</f>
        <v>0</v>
      </c>
      <c r="P58" s="40"/>
      <c r="Q58" s="41"/>
      <c r="R58" s="4"/>
      <c r="S58" s="4"/>
      <c r="T58" s="4"/>
      <c r="U58" s="5">
        <f t="shared" ref="U58" si="46">SUM($U51:$U57)</f>
        <v>0</v>
      </c>
      <c r="V58" s="58"/>
      <c r="W58" s="39"/>
      <c r="X58" s="39">
        <f t="shared" si="33"/>
        <v>0</v>
      </c>
      <c r="Z58" s="70" t="str">
        <f>IF(SUMIFS(TrackingTime!H:H,TrackingTime!F:F,Timer!B58,TrackingTime!C:C,"Hovedkontoret")&gt;0,SUMIFS(TrackingTime!H:H,TrackingTime!F:F,Timer!B58,TrackingTime!C:C,"Hovedkontoret"),"")</f>
        <v/>
      </c>
      <c r="AA58" s="71" t="str">
        <f t="shared" si="4"/>
        <v/>
      </c>
      <c r="AB58" t="str">
        <f>IF(SUMIFS(TrackingTime!H:H,TrackingTime!F:F,Timer!B58,TrackingTime!C:C,Start!$F$3)&gt;0,SUMIFS(TrackingTime!H:H,TrackingTime!F:F,Timer!B58,TrackingTime!C:C,Start!$F$3),"")</f>
        <v/>
      </c>
      <c r="AC58" s="71" t="str">
        <f t="shared" si="6"/>
        <v/>
      </c>
    </row>
    <row r="59" spans="1:29" x14ac:dyDescent="0.25">
      <c r="A59" s="15"/>
      <c r="B59" t="s">
        <v>90</v>
      </c>
      <c r="E59">
        <f t="shared" ca="1" si="23"/>
        <v>0</v>
      </c>
      <c r="F59" t="str">
        <f>IFERROR(IF(YEAR(B59)=Start!$B$1,MONTH(B59),""),"")</f>
        <v/>
      </c>
      <c r="G59" s="64" t="str">
        <f>IFERROR(VLOOKUP(B59,Start!A$111:B$273,2,FALSE),"")</f>
        <v/>
      </c>
      <c r="L59" s="1">
        <f t="shared" si="10"/>
        <v>0</v>
      </c>
      <c r="M59" s="1"/>
      <c r="N59" s="1"/>
      <c r="O59" s="21">
        <f t="shared" ref="O59" si="47">L59</f>
        <v>0</v>
      </c>
      <c r="P59" s="40"/>
      <c r="Q59" s="21"/>
      <c r="U59" s="1">
        <f t="shared" ref="U59" si="48">SUMIFS(D51:D57,F51:F57,"&gt;0")</f>
        <v>0</v>
      </c>
      <c r="V59" s="1"/>
      <c r="W59" s="1"/>
      <c r="X59" s="21">
        <f>U59</f>
        <v>0</v>
      </c>
      <c r="Z59" s="70" t="str">
        <f>IF(SUMIFS(TrackingTime!H:H,TrackingTime!F:F,Timer!B59,TrackingTime!C:C,"Hovedkontoret")&gt;0,SUMIFS(TrackingTime!H:H,TrackingTime!F:F,Timer!B59,TrackingTime!C:C,"Hovedkontoret"),"")</f>
        <v/>
      </c>
      <c r="AA59" s="71" t="str">
        <f t="shared" si="4"/>
        <v/>
      </c>
      <c r="AB59" t="str">
        <f>IF(SUMIFS(TrackingTime!H:H,TrackingTime!F:F,Timer!B59,TrackingTime!C:C,Start!$F$3)&gt;0,SUMIFS(TrackingTime!H:H,TrackingTime!F:F,Timer!B59,TrackingTime!C:C,Start!$F$3),"")</f>
        <v/>
      </c>
      <c r="AC59" s="71" t="str">
        <f t="shared" si="6"/>
        <v/>
      </c>
    </row>
    <row r="60" spans="1:29" x14ac:dyDescent="0.25">
      <c r="A60" s="16">
        <f>B57-B51-1</f>
        <v>5</v>
      </c>
      <c r="B60" t="s">
        <v>117</v>
      </c>
      <c r="E60">
        <f t="shared" ca="1" si="23"/>
        <v>0</v>
      </c>
      <c r="F60" t="str">
        <f>IFERROR(IF(YEAR(B60)=Start!$B$1,MONTH(B60),""),"")</f>
        <v/>
      </c>
      <c r="G60" s="64" t="str">
        <f>IFERROR(VLOOKUP(B60,Start!A$111:B$273,2,FALSE),"")</f>
        <v/>
      </c>
      <c r="L60" s="77">
        <f t="shared" ca="1" si="11"/>
        <v>0</v>
      </c>
      <c r="O60" s="21">
        <f t="shared" ref="O60" si="49">O58-O59</f>
        <v>0</v>
      </c>
      <c r="P60" s="21"/>
      <c r="Q60" s="21"/>
      <c r="U60" s="1">
        <f t="shared" ref="U60" ca="1" si="50">U58-U59*(IF(NETWORKDAYS($B51,TODAY())&lt;0,0,IF(NETWORKDAYS($B51,TODAY())&lt;=$A60,NETWORKDAYS($B51,TODAY()),$A60)))/$A60</f>
        <v>0</v>
      </c>
      <c r="V60" s="58"/>
      <c r="W60" s="21"/>
      <c r="X60" s="21">
        <f>X58-X59</f>
        <v>0</v>
      </c>
      <c r="Z60" s="70" t="str">
        <f>IF(SUMIFS(TrackingTime!H:H,TrackingTime!F:F,Timer!B60,TrackingTime!C:C,"Hovedkontoret")&gt;0,SUMIFS(TrackingTime!H:H,TrackingTime!F:F,Timer!B60,TrackingTime!C:C,"Hovedkontoret"),"")</f>
        <v/>
      </c>
      <c r="AA60" s="71" t="str">
        <f t="shared" si="4"/>
        <v/>
      </c>
      <c r="AB60" t="str">
        <f>IF(SUMIFS(TrackingTime!H:H,TrackingTime!F:F,Timer!B60,TrackingTime!C:C,Start!$F$3)&gt;0,SUMIFS(TrackingTime!H:H,TrackingTime!F:F,Timer!B60,TrackingTime!C:C,Start!$F$3),"")</f>
        <v/>
      </c>
      <c r="AC60" s="71" t="str">
        <f t="shared" si="6"/>
        <v/>
      </c>
    </row>
    <row r="61" spans="1:29" x14ac:dyDescent="0.25">
      <c r="A61" s="15"/>
      <c r="E61">
        <f t="shared" ca="1" si="23"/>
        <v>1</v>
      </c>
      <c r="F61" t="str">
        <f>IFERROR(IF(YEAR(B61)=Start!$B$1,MONTH(B61),""),"")</f>
        <v/>
      </c>
      <c r="G61" s="64" t="str">
        <f>IFERROR(VLOOKUP(B61,Start!A$111:B$273,2,FALSE),"")</f>
        <v/>
      </c>
      <c r="O61" s="2"/>
      <c r="P61" s="2"/>
      <c r="U61" s="1"/>
      <c r="V61" s="7"/>
      <c r="X61" s="2"/>
      <c r="Z61" s="70" t="str">
        <f>IF(SUMIFS(TrackingTime!H:H,TrackingTime!F:F,Timer!B61,TrackingTime!C:C,"Hovedkontoret")&gt;0,SUMIFS(TrackingTime!H:H,TrackingTime!F:F,Timer!B61,TrackingTime!C:C,"Hovedkontoret"),"")</f>
        <v/>
      </c>
      <c r="AA61" s="71" t="str">
        <f t="shared" si="4"/>
        <v/>
      </c>
      <c r="AB61" t="str">
        <f>IF(SUMIFS(TrackingTime!H:H,TrackingTime!F:F,Timer!B61,TrackingTime!C:C,Start!$F$3)&gt;0,SUMIFS(TrackingTime!H:H,TrackingTime!F:F,Timer!B61,TrackingTime!C:C,Start!$F$3),"")</f>
        <v/>
      </c>
      <c r="AC61" s="71" t="str">
        <f t="shared" si="6"/>
        <v/>
      </c>
    </row>
    <row r="62" spans="1:29" x14ac:dyDescent="0.25">
      <c r="A62" s="2" t="s">
        <v>82</v>
      </c>
      <c r="B62" s="14" t="s">
        <v>83</v>
      </c>
      <c r="E62">
        <f t="shared" ca="1" si="23"/>
        <v>0</v>
      </c>
      <c r="F62" t="str">
        <f>IFERROR(IF(YEAR(B62)=Start!$B$1,MONTH(B62),""),"")</f>
        <v/>
      </c>
      <c r="G62" s="64" t="str">
        <f>IFERROR(VLOOKUP(B62,Start!A$111:B$273,2,FALSE),"")</f>
        <v/>
      </c>
      <c r="H62" s="2" t="s">
        <v>86</v>
      </c>
      <c r="I62" s="2" t="s">
        <v>125</v>
      </c>
      <c r="J62" s="2" t="s">
        <v>126</v>
      </c>
      <c r="K62" s="2" t="s">
        <v>127</v>
      </c>
      <c r="L62" s="3" t="s">
        <v>87</v>
      </c>
      <c r="M62" s="6"/>
      <c r="N62" s="2" t="s">
        <v>88</v>
      </c>
      <c r="O62" s="2" t="s">
        <v>89</v>
      </c>
      <c r="P62" s="2"/>
      <c r="Q62" s="2" t="s">
        <v>86</v>
      </c>
      <c r="R62" s="2" t="s">
        <v>125</v>
      </c>
      <c r="S62" s="2" t="s">
        <v>126</v>
      </c>
      <c r="T62" s="2" t="s">
        <v>127</v>
      </c>
      <c r="U62" s="3" t="s">
        <v>87</v>
      </c>
      <c r="V62" s="6"/>
      <c r="W62" s="2" t="s">
        <v>88</v>
      </c>
      <c r="X62" s="2" t="s">
        <v>89</v>
      </c>
      <c r="Z62" s="70" t="str">
        <f>IF(SUMIFS(TrackingTime!H:H,TrackingTime!F:F,Timer!B62,TrackingTime!C:C,"Hovedkontoret")&gt;0,SUMIFS(TrackingTime!H:H,TrackingTime!F:F,Timer!B62,TrackingTime!C:C,"Hovedkontoret"),"")</f>
        <v/>
      </c>
      <c r="AA62" s="71" t="str">
        <f t="shared" si="4"/>
        <v/>
      </c>
      <c r="AB62" t="str">
        <f>IF(SUMIFS(TrackingTime!H:H,TrackingTime!F:F,Timer!B62,TrackingTime!C:C,Start!$F$3)&gt;0,SUMIFS(TrackingTime!H:H,TrackingTime!F:F,Timer!B62,TrackingTime!C:C,Start!$F$3),"")</f>
        <v/>
      </c>
      <c r="AC62" s="71" t="str">
        <f t="shared" si="6"/>
        <v/>
      </c>
    </row>
    <row r="63" spans="1:29" x14ac:dyDescent="0.25">
      <c r="A63" s="15">
        <f>WEEKNUM(B63,21)</f>
        <v>5</v>
      </c>
      <c r="B63" s="63">
        <f>B57+(DAY(1))</f>
        <v>46048</v>
      </c>
      <c r="C63" t="str">
        <f>IFERROR(IF(OR(L63="Fri",L63="Ferie",L63="Syk",L63="Omsorg",B63&lt;Start!$B$7),0,IF(IFERROR(MATCH(B63,Start!A$253:A$273,0),0)&gt;0,VLOOKUP(B63,Start!A$253:F$273,3,FALSE)/100*Start!$B$4,VLOOKUP(WEEKDAY(B63,2),Start!A$240:F$246,4,FALSE))),"")</f>
        <v/>
      </c>
      <c r="D63" t="str">
        <f>IFERROR(IF(OR(U63="Fri",U63="Ferie",U63="Syk",U63="Omsorg",B63&lt;Start!$F$7),0,IF(IFERROR(MATCH(B63,Start!A$253:A$273,0),0)&gt;0,VLOOKUP(B63,Start!A$253:F$273,3,FALSE)/100*Start!$F$4,VLOOKUP(WEEKDAY(B63,2),Start!A$240:F$246,6,FALSE))),"")</f>
        <v/>
      </c>
      <c r="E63">
        <f t="shared" ca="1" si="23"/>
        <v>0</v>
      </c>
      <c r="F63">
        <f>IFERROR(IF(YEAR(B63)=Start!$B$1,MONTH(B63),""),"")</f>
        <v>1</v>
      </c>
      <c r="G63" s="64" t="str">
        <f>IFERROR(VLOOKUP(B63,Start!A$111:B$273,2,FALSE),"")</f>
        <v/>
      </c>
      <c r="H63" s="21"/>
      <c r="I63" s="78">
        <v>0.33333333333333331</v>
      </c>
      <c r="J63" s="78">
        <v>0.33333333333333331</v>
      </c>
      <c r="K63" s="1" t="str">
        <f>IF(Start!$B$6="Ja","",IF(((J63-I63)*24)&gt;=5.5,"X",""))</f>
        <v/>
      </c>
      <c r="L63" s="1" t="str">
        <f>IF(_xlfn.IFNA(MATCH($A63,Start!$H$3:$H$11,0),0)&gt;0,"Ferie",IFERROR(IF(VLOOKUP(B63,Start!A$165:B$234,2,FALSE)&gt;0,"Fri",0),IF(AND((J63-I63)=0,Z63=""),"",MAX((IF(K63="X",(J63-I63)*24-0.5,(J63-I63)*24)),Z63))))</f>
        <v/>
      </c>
      <c r="M63" s="58"/>
      <c r="N63" s="21" t="str">
        <f t="shared" ref="N63:N69" si="51">IF(H63=0,"",H63)</f>
        <v/>
      </c>
      <c r="O63" s="21" t="str">
        <f t="shared" ref="O63:O69" si="52">IF(L63=0,"",L63)</f>
        <v/>
      </c>
      <c r="P63" s="2"/>
      <c r="Q63" s="21"/>
      <c r="R63" s="78">
        <v>0.33333333333333331</v>
      </c>
      <c r="S63" s="78">
        <v>0.33333333333333331</v>
      </c>
      <c r="T63" s="1" t="str">
        <f>IF(Start!$B$6="Ja","",IF(((S63-R63)*24)&gt;=5.5,"X",""))</f>
        <v/>
      </c>
      <c r="U63" s="1" t="str">
        <f>IF(_xlfn.IFNA(MATCH($A$15,Start!$H$3:$H$11,0),0)&gt;0,"Ferie",(IF(L63="fri","Fri",(IF(L63="syk","Syk",IF(L63="Ferie","Ferie",IF(AND((S63-R63)=0,AB63=""),"",MAX((IF(T63="X",(S63-R63)*24-0.5,(S63-R63)*24)),AB63))))))))</f>
        <v/>
      </c>
      <c r="V63" s="58"/>
      <c r="W63" s="21" t="str">
        <f t="shared" ref="W63:W69" si="53">IF(Q63=0,"",Q63)</f>
        <v/>
      </c>
      <c r="X63" s="21" t="str">
        <f t="shared" ref="X63:X69" si="54">IF(U63=0,"",U63)</f>
        <v/>
      </c>
      <c r="Z63" s="70" t="str">
        <f>IF(SUMIFS(TrackingTime!H:H,TrackingTime!F:F,Timer!B63,TrackingTime!C:C,"Hovedkontoret")&gt;0,SUMIFS(TrackingTime!H:H,TrackingTime!F:F,Timer!B63,TrackingTime!C:C,"Hovedkontoret"),"")</f>
        <v/>
      </c>
      <c r="AA63" s="71" t="str">
        <f t="shared" si="4"/>
        <v/>
      </c>
      <c r="AB63" t="str">
        <f>IF(SUMIFS(TrackingTime!H:H,TrackingTime!F:F,Timer!B63,TrackingTime!C:C,Start!$F$3)&gt;0,SUMIFS(TrackingTime!H:H,TrackingTime!F:F,Timer!B63,TrackingTime!C:C,Start!$F$3),"")</f>
        <v/>
      </c>
      <c r="AC63" s="71" t="str">
        <f t="shared" si="6"/>
        <v/>
      </c>
    </row>
    <row r="64" spans="1:29" x14ac:dyDescent="0.25">
      <c r="A64" s="15"/>
      <c r="B64" s="63">
        <f t="shared" ref="B64:B69" si="55">B63+DAY(1)</f>
        <v>46049</v>
      </c>
      <c r="C64" t="str">
        <f>IFERROR(IF(OR(L64="Fri",L64="Ferie",L64="Syk",L64="Omsorg",B64&lt;Start!$B$7),0,IF(IFERROR(MATCH(B64,Start!A$253:A$273,0),0)&gt;0,VLOOKUP(B64,Start!A$253:F$273,3,FALSE)/100*Start!$B$4,VLOOKUP(WEEKDAY(B64,2),Start!A$240:F$246,4,FALSE))),"")</f>
        <v/>
      </c>
      <c r="D64" t="str">
        <f>IFERROR(IF(OR(U64="Fri",U64="Ferie",U64="Syk",U64="Omsorg",B64&lt;Start!$F$7),0,IF(IFERROR(MATCH(B64,Start!A$253:A$273,0),0)&gt;0,VLOOKUP(B64,Start!A$253:F$273,3,FALSE)/100*Start!$F$4,VLOOKUP(WEEKDAY(B64,2),Start!A$240:F$246,6,FALSE))),"")</f>
        <v/>
      </c>
      <c r="E64">
        <f t="shared" ca="1" si="23"/>
        <v>0</v>
      </c>
      <c r="F64">
        <f>IFERROR(IF(YEAR(B64)=Start!$B$1,MONTH(B64),""),"")</f>
        <v>1</v>
      </c>
      <c r="G64" s="64" t="str">
        <f>IFERROR(VLOOKUP(B64,Start!A$111:B$273,2,FALSE),"")</f>
        <v/>
      </c>
      <c r="H64" s="21"/>
      <c r="I64" s="78">
        <v>0.33333333333333331</v>
      </c>
      <c r="J64" s="78">
        <v>0.33333333333333331</v>
      </c>
      <c r="K64" s="1" t="str">
        <f>IF(Start!$B$6="Ja","",IF(((J64-I64)*24)&gt;=5.5,"X",""))</f>
        <v/>
      </c>
      <c r="L64" s="1" t="str">
        <f>IF(_xlfn.IFNA(MATCH($A63,Start!$H$3:$H$11,0),0)&gt;0,"Ferie",IFERROR(IF(VLOOKUP($B64,Start!$A$165:$B$234,2,FALSE)&gt;0,"Fri",0),IF(AND((J64-I64)=0,Z64=""),"",MAX((IF(K64="X",(J64-I64)*24-0.5,(J64-I64)*24)),Z64))))</f>
        <v/>
      </c>
      <c r="M64" s="58"/>
      <c r="N64" s="21" t="str">
        <f t="shared" si="51"/>
        <v/>
      </c>
      <c r="O64" s="21" t="str">
        <f t="shared" si="52"/>
        <v/>
      </c>
      <c r="P64" s="2"/>
      <c r="Q64" s="21"/>
      <c r="R64" s="78">
        <v>0.33333333333333331</v>
      </c>
      <c r="S64" s="78">
        <v>0.33333333333333331</v>
      </c>
      <c r="T64" s="1" t="str">
        <f>IF(Start!$B$6="Ja","",IF(((S64-R64)*24)&gt;=5.5,"X",""))</f>
        <v/>
      </c>
      <c r="U64" s="1" t="str">
        <f>IF(_xlfn.IFNA(MATCH($A$15,Start!$H$3:$H$11,0),0)&gt;0,"Ferie",(IF(L64="fri","Fri",(IF(L64="syk","Syk",IF(L64="Ferie","Ferie",IF(AND((S64-R64)=0,AB64=""),"",MAX((IF(T64="X",(S64-R64)*24-0.5,(S64-R64)*24)),AB64))))))))</f>
        <v/>
      </c>
      <c r="V64" s="58"/>
      <c r="W64" s="21" t="str">
        <f t="shared" si="53"/>
        <v/>
      </c>
      <c r="X64" s="21" t="str">
        <f t="shared" si="54"/>
        <v/>
      </c>
      <c r="Z64" s="70" t="str">
        <f>IF(SUMIFS(TrackingTime!H:H,TrackingTime!F:F,Timer!B64,TrackingTime!C:C,"Hovedkontoret")&gt;0,SUMIFS(TrackingTime!H:H,TrackingTime!F:F,Timer!B64,TrackingTime!C:C,"Hovedkontoret"),"")</f>
        <v/>
      </c>
      <c r="AA64" s="71" t="str">
        <f t="shared" si="4"/>
        <v/>
      </c>
      <c r="AB64" t="str">
        <f>IF(SUMIFS(TrackingTime!H:H,TrackingTime!F:F,Timer!B64,TrackingTime!C:C,Start!$F$3)&gt;0,SUMIFS(TrackingTime!H:H,TrackingTime!F:F,Timer!B64,TrackingTime!C:C,Start!$F$3),"")</f>
        <v/>
      </c>
      <c r="AC64" s="71" t="str">
        <f t="shared" si="6"/>
        <v/>
      </c>
    </row>
    <row r="65" spans="1:29" x14ac:dyDescent="0.25">
      <c r="A65" s="15"/>
      <c r="B65" s="63">
        <f t="shared" si="55"/>
        <v>46050</v>
      </c>
      <c r="C65" t="str">
        <f>IFERROR(IF(OR(L65="Fri",L65="Ferie",L65="Syk",L65="Omsorg",B65&lt;Start!$B$7),0,IF(IFERROR(MATCH(B65,Start!A$253:A$273,0),0)&gt;0,VLOOKUP(B65,Start!A$253:F$273,3,FALSE)/100*Start!$B$4,VLOOKUP(WEEKDAY(B65,2),Start!A$240:F$246,4,FALSE))),"")</f>
        <v/>
      </c>
      <c r="D65" t="str">
        <f>IFERROR(IF(OR(U65="Fri",U65="Ferie",U65="Syk",U65="Omsorg",B65&lt;Start!$F$7),0,IF(IFERROR(MATCH(B65,Start!A$253:A$273,0),0)&gt;0,VLOOKUP(B65,Start!A$253:F$273,3,FALSE)/100*Start!$F$4,VLOOKUP(WEEKDAY(B65,2),Start!A$240:F$246,6,FALSE))),"")</f>
        <v/>
      </c>
      <c r="E65">
        <f t="shared" ca="1" si="23"/>
        <v>0</v>
      </c>
      <c r="F65">
        <f>IFERROR(IF(YEAR(B65)=Start!$B$1,MONTH(B65),""),"")</f>
        <v>1</v>
      </c>
      <c r="G65" s="64" t="str">
        <f>IFERROR(VLOOKUP(B65,Start!A$111:B$273,2,FALSE),"")</f>
        <v/>
      </c>
      <c r="H65" s="21"/>
      <c r="I65" s="78">
        <v>0.33333333333333331</v>
      </c>
      <c r="J65" s="78">
        <v>0.33333333333333331</v>
      </c>
      <c r="K65" s="1" t="str">
        <f>IF(Start!$B$6="Ja","",IF(((J65-I65)*24)&gt;=5.5,"X",""))</f>
        <v/>
      </c>
      <c r="L65" s="1" t="str">
        <f>IF(_xlfn.IFNA(MATCH($A63,Start!$H$3:$H$11,0),0)&gt;0,"Ferie",IFERROR(IF(VLOOKUP(B65,Start!A$165:B$234,2,FALSE)&gt;0,"Fri",0),IF(AND((J65-I65)=0,Z65=""),"",MAX((IF(K65="X",(J65-I65)*24-0.5,(J65-I65)*24)),Z65))))</f>
        <v/>
      </c>
      <c r="M65" s="58"/>
      <c r="N65" s="21" t="str">
        <f t="shared" si="51"/>
        <v/>
      </c>
      <c r="O65" s="21" t="str">
        <f t="shared" si="52"/>
        <v/>
      </c>
      <c r="P65" s="2"/>
      <c r="Q65" s="21"/>
      <c r="R65" s="78">
        <v>0.33333333333333331</v>
      </c>
      <c r="S65" s="78">
        <v>0.33333333333333331</v>
      </c>
      <c r="T65" s="1" t="str">
        <f>IF(Start!$B$6="Ja","",IF(((S65-R65)*24)&gt;=5.5,"X",""))</f>
        <v/>
      </c>
      <c r="U65" s="1" t="str">
        <f>IF(_xlfn.IFNA(MATCH($A$15,Start!$H$3:$H$11,0),0)&gt;0,"Ferie",(IF(L65="fri","Fri",(IF(L65="syk","Syk",IF(L65="Ferie","Ferie",IF(AND((S65-R65)=0,AB65=""),"",MAX((IF(T65="X",(S65-R65)*24-0.5,(S65-R65)*24)),AB65))))))))</f>
        <v/>
      </c>
      <c r="V65" s="58"/>
      <c r="W65" s="21" t="str">
        <f t="shared" si="53"/>
        <v/>
      </c>
      <c r="X65" s="21" t="str">
        <f t="shared" si="54"/>
        <v/>
      </c>
      <c r="Z65" s="70" t="str">
        <f>IF(SUMIFS(TrackingTime!H:H,TrackingTime!F:F,Timer!B65,TrackingTime!C:C,"Hovedkontoret")&gt;0,SUMIFS(TrackingTime!H:H,TrackingTime!F:F,Timer!B65,TrackingTime!C:C,"Hovedkontoret"),"")</f>
        <v/>
      </c>
      <c r="AA65" s="71" t="str">
        <f t="shared" si="4"/>
        <v/>
      </c>
      <c r="AB65" t="str">
        <f>IF(SUMIFS(TrackingTime!H:H,TrackingTime!F:F,Timer!B65,TrackingTime!C:C,Start!$F$3)&gt;0,SUMIFS(TrackingTime!H:H,TrackingTime!F:F,Timer!B65,TrackingTime!C:C,Start!$F$3),"")</f>
        <v/>
      </c>
      <c r="AC65" s="71" t="str">
        <f t="shared" si="6"/>
        <v/>
      </c>
    </row>
    <row r="66" spans="1:29" x14ac:dyDescent="0.25">
      <c r="A66" s="15"/>
      <c r="B66" s="63">
        <f t="shared" si="55"/>
        <v>46051</v>
      </c>
      <c r="C66" t="str">
        <f>IFERROR(IF(OR(L66="Fri",L66="Ferie",L66="Syk",L66="Omsorg",B66&lt;Start!$B$7),0,IF(IFERROR(MATCH(B66,Start!A$253:A$273,0),0)&gt;0,VLOOKUP(B66,Start!A$253:F$273,3,FALSE)/100*Start!$B$4,VLOOKUP(WEEKDAY(B66,2),Start!A$240:F$246,4,FALSE))),"")</f>
        <v/>
      </c>
      <c r="D66" t="str">
        <f>IFERROR(IF(OR(U66="Fri",U66="Ferie",U66="Syk",U66="Omsorg",B66&lt;Start!$F$7),0,IF(IFERROR(MATCH(B66,Start!A$253:A$273,0),0)&gt;0,VLOOKUP(B66,Start!A$253:F$273,3,FALSE)/100*Start!$F$4,VLOOKUP(WEEKDAY(B66,2),Start!A$240:F$246,6,FALSE))),"")</f>
        <v/>
      </c>
      <c r="E66">
        <f t="shared" ca="1" si="23"/>
        <v>0</v>
      </c>
      <c r="F66">
        <f>IFERROR(IF(YEAR(B66)=Start!$B$1,MONTH(B66),""),"")</f>
        <v>1</v>
      </c>
      <c r="G66" s="64" t="str">
        <f>IFERROR(VLOOKUP(B66,Start!A$111:B$273,2,FALSE),"")</f>
        <v/>
      </c>
      <c r="H66" s="21"/>
      <c r="I66" s="78">
        <v>0.33333333333333331</v>
      </c>
      <c r="J66" s="78">
        <v>0.33333333333333331</v>
      </c>
      <c r="K66" s="1" t="str">
        <f>IF(Start!$B$6="Ja","",IF(((J66-I66)*24)&gt;=5.5,"X",""))</f>
        <v/>
      </c>
      <c r="L66" s="1" t="str">
        <f>IF(_xlfn.IFNA(MATCH($A63,Start!$H$3:$H$11,0),0)&gt;0,"Ferie",IFERROR(IF(VLOOKUP(B66,Start!A$165:B$234,2,FALSE)&gt;0,"Fri",0),IF(AND((J66-I66)=0,Z66=""),"",MAX((IF(K66="X",(J66-I66)*24-0.5,(J66-I66)*24)),Z66))))</f>
        <v/>
      </c>
      <c r="M66" s="58"/>
      <c r="N66" s="21" t="str">
        <f t="shared" si="51"/>
        <v/>
      </c>
      <c r="O66" s="21" t="str">
        <f t="shared" si="52"/>
        <v/>
      </c>
      <c r="P66" s="2"/>
      <c r="Q66" s="21"/>
      <c r="R66" s="78">
        <v>0.33333333333333331</v>
      </c>
      <c r="S66" s="78">
        <v>0.33333333333333331</v>
      </c>
      <c r="T66" s="1" t="str">
        <f>IF(Start!$B$6="Ja","",IF(((S66-R66)*24)&gt;=5.5,"X",""))</f>
        <v/>
      </c>
      <c r="U66" s="1" t="str">
        <f>IF(_xlfn.IFNA(MATCH($A$15,Start!$H$3:$H$11,0),0)&gt;0,"Ferie",(IF(L66="fri","Fri",(IF(L66="syk","Syk",IF(L66="Ferie","Ferie",IF(AND((S66-R66)=0,AB66=""),"",MAX((IF(T66="X",(S66-R66)*24-0.5,(S66-R66)*24)),AB66))))))))</f>
        <v/>
      </c>
      <c r="V66" s="58"/>
      <c r="W66" s="21" t="str">
        <f t="shared" si="53"/>
        <v/>
      </c>
      <c r="X66" s="21" t="str">
        <f t="shared" si="54"/>
        <v/>
      </c>
      <c r="Z66" s="70" t="str">
        <f>IF(SUMIFS(TrackingTime!H:H,TrackingTime!F:F,Timer!B66,TrackingTime!C:C,"Hovedkontoret")&gt;0,SUMIFS(TrackingTime!H:H,TrackingTime!F:F,Timer!B66,TrackingTime!C:C,"Hovedkontoret"),"")</f>
        <v/>
      </c>
      <c r="AA66" s="71" t="str">
        <f t="shared" si="4"/>
        <v/>
      </c>
      <c r="AB66" t="str">
        <f>IF(SUMIFS(TrackingTime!H:H,TrackingTime!F:F,Timer!B66,TrackingTime!C:C,Start!$F$3)&gt;0,SUMIFS(TrackingTime!H:H,TrackingTime!F:F,Timer!B66,TrackingTime!C:C,Start!$F$3),"")</f>
        <v/>
      </c>
      <c r="AC66" s="71" t="str">
        <f t="shared" si="6"/>
        <v/>
      </c>
    </row>
    <row r="67" spans="1:29" x14ac:dyDescent="0.25">
      <c r="A67" s="15"/>
      <c r="B67" s="63">
        <f t="shared" si="55"/>
        <v>46052</v>
      </c>
      <c r="C67" t="str">
        <f>IFERROR(IF(OR(L67="Fri",L67="Ferie",L67="Syk",L67="Omsorg",B67&lt;Start!$B$7),0,IF(IFERROR(MATCH(B67,Start!A$253:A$273,0),0)&gt;0,VLOOKUP(B67,Start!A$253:F$273,3,FALSE)/100*Start!$B$4,VLOOKUP(WEEKDAY(B67,2),Start!A$240:F$246,4,FALSE))),"")</f>
        <v/>
      </c>
      <c r="D67" t="str">
        <f>IFERROR(IF(OR(U67="Fri",U67="Ferie",U67="Syk",U67="Omsorg",B67&lt;Start!$F$7),0,IF(IFERROR(MATCH(B67,Start!A$253:A$273,0),0)&gt;0,VLOOKUP(B67,Start!A$253:F$273,3,FALSE)/100*Start!$F$4,VLOOKUP(WEEKDAY(B67,2),Start!A$240:F$246,6,FALSE))),"")</f>
        <v/>
      </c>
      <c r="E67">
        <f t="shared" ca="1" si="23"/>
        <v>0</v>
      </c>
      <c r="F67">
        <f>IFERROR(IF(YEAR(B67)=Start!$B$1,MONTH(B67),""),"")</f>
        <v>1</v>
      </c>
      <c r="G67" s="64" t="str">
        <f>IFERROR(VLOOKUP(B67,Start!A$111:B$273,2,FALSE),"")</f>
        <v/>
      </c>
      <c r="H67" s="21"/>
      <c r="I67" s="78">
        <v>0.33333333333333331</v>
      </c>
      <c r="J67" s="78">
        <v>0.33333333333333331</v>
      </c>
      <c r="K67" s="1" t="str">
        <f>IF(Start!$B$6="Ja","",IF(((J67-I67)*24)&gt;=5.5,"X",""))</f>
        <v/>
      </c>
      <c r="L67" s="1" t="str">
        <f>IF(_xlfn.IFNA(MATCH($A63,Start!$H$3:$H$11,0),0)&gt;0,"Ferie",IFERROR(IF(VLOOKUP(B67,Start!A$165:B$234,2,FALSE)&gt;0,"Fri",0),IF(AND((J67-I67)=0,Z67=""),"",MAX((IF(K67="X",(J67-I67)*24-0.5,(J67-I67)*24)),Z67))))</f>
        <v/>
      </c>
      <c r="M67" s="58"/>
      <c r="N67" s="21" t="str">
        <f t="shared" si="51"/>
        <v/>
      </c>
      <c r="O67" s="21" t="str">
        <f t="shared" si="52"/>
        <v/>
      </c>
      <c r="P67" s="2"/>
      <c r="Q67" s="21"/>
      <c r="R67" s="78">
        <v>0.33333333333333331</v>
      </c>
      <c r="S67" s="78">
        <v>0.33333333333333331</v>
      </c>
      <c r="T67" s="1" t="str">
        <f>IF(Start!$B$6="Ja","",IF(((S67-R67)*24)&gt;=5.5,"X",""))</f>
        <v/>
      </c>
      <c r="U67" s="1" t="str">
        <f>IF(_xlfn.IFNA(MATCH($A$15,Start!$H$3:$H$11,0),0)&gt;0,"Ferie",(IF(L67="fri","Fri",(IF(L67="syk","Syk",IF(L67="Ferie","Ferie",IF(AND((S67-R67)=0,AB67=""),"",MAX((IF(T67="X",(S67-R67)*24-0.5,(S67-R67)*24)),AB67))))))))</f>
        <v/>
      </c>
      <c r="V67" s="58"/>
      <c r="W67" s="21" t="str">
        <f t="shared" si="53"/>
        <v/>
      </c>
      <c r="X67" s="21" t="str">
        <f t="shared" si="54"/>
        <v/>
      </c>
      <c r="Z67" s="70" t="str">
        <f>IF(SUMIFS(TrackingTime!H:H,TrackingTime!F:F,Timer!B67,TrackingTime!C:C,"Hovedkontoret")&gt;0,SUMIFS(TrackingTime!H:H,TrackingTime!F:F,Timer!B67,TrackingTime!C:C,"Hovedkontoret"),"")</f>
        <v/>
      </c>
      <c r="AA67" s="71" t="str">
        <f t="shared" si="4"/>
        <v/>
      </c>
      <c r="AB67" t="str">
        <f>IF(SUMIFS(TrackingTime!H:H,TrackingTime!F:F,Timer!B67,TrackingTime!C:C,Start!$F$3)&gt;0,SUMIFS(TrackingTime!H:H,TrackingTime!F:F,Timer!B67,TrackingTime!C:C,Start!$F$3),"")</f>
        <v/>
      </c>
      <c r="AC67" s="71" t="str">
        <f t="shared" si="6"/>
        <v/>
      </c>
    </row>
    <row r="68" spans="1:29" x14ac:dyDescent="0.25">
      <c r="A68" s="15"/>
      <c r="B68" s="63">
        <f t="shared" si="55"/>
        <v>46053</v>
      </c>
      <c r="C68">
        <f>IFERROR(IF(OR(L68="Fri",L68="Ferie",L68="Syk",L68="Omsorg",B68&lt;Start!$B$7),0,IF(IFERROR(MATCH(B68,Start!A$253:A$273,0),0)&gt;0,VLOOKUP(B68,Start!A$253:F$273,3,FALSE)/100*Start!$B$4,VLOOKUP(WEEKDAY(B68,2),Start!A$240:F$246,4,FALSE))),"")</f>
        <v>0</v>
      </c>
      <c r="D68">
        <f>IFERROR(IF(OR(U68="Fri",U68="Ferie",U68="Syk",U68="Omsorg",B68&lt;Start!$F$7),0,IF(IFERROR(MATCH(B68,Start!A$253:A$273,0),0)&gt;0,VLOOKUP(B68,Start!A$253:F$273,3,FALSE)/100*Start!$F$4,VLOOKUP(WEEKDAY(B68,2),Start!A$240:F$246,6,FALSE))),"")</f>
        <v>0</v>
      </c>
      <c r="E68">
        <f t="shared" ca="1" si="23"/>
        <v>0</v>
      </c>
      <c r="F68">
        <f>IFERROR(IF(YEAR(B68)=Start!$B$1,MONTH(B68),""),"")</f>
        <v>1</v>
      </c>
      <c r="G68" s="64" t="str">
        <f>IFERROR(VLOOKUP(B68,Start!A$111:B$273,2,FALSE),"")</f>
        <v/>
      </c>
      <c r="H68" s="21"/>
      <c r="I68" s="78">
        <v>0.41666666666666669</v>
      </c>
      <c r="J68" s="78">
        <v>0.41666666666666669</v>
      </c>
      <c r="K68" s="1" t="str">
        <f>IF(Start!$B$6="Ja","",IF(((J68-I68)*24)&gt;=5.5,"X",""))</f>
        <v/>
      </c>
      <c r="L68" s="1" t="str">
        <f t="shared" ref="L68:L69" si="56">IF(AND((J68-I68)=0,Z68=""),"",MAX((IF(K68="X",(J68-I68)*24-0.5,(J68-I68)*24)),Z68))</f>
        <v/>
      </c>
      <c r="M68" s="58"/>
      <c r="N68" s="21" t="str">
        <f t="shared" si="51"/>
        <v/>
      </c>
      <c r="O68" s="21" t="str">
        <f t="shared" si="52"/>
        <v/>
      </c>
      <c r="P68" s="2"/>
      <c r="Q68" s="21"/>
      <c r="R68" s="78">
        <v>0.41666666666666669</v>
      </c>
      <c r="S68" s="78">
        <v>0.41666666666666669</v>
      </c>
      <c r="T68" s="1" t="str">
        <f>IF(Start!$B$6="Ja","",IF(((S68-R68)*24)&gt;=5.5,"X",""))</f>
        <v/>
      </c>
      <c r="U68" s="1" t="str">
        <f t="shared" ref="U68:U69" si="57">IF(AND((S68-R68)=0,AB68=""),"",MAX((IF(T68="X",(S68-R68)*24-0.5,(S68-R68)*24)),AB68))</f>
        <v/>
      </c>
      <c r="V68" s="58"/>
      <c r="W68" s="21" t="str">
        <f t="shared" si="53"/>
        <v/>
      </c>
      <c r="X68" s="21" t="str">
        <f t="shared" si="54"/>
        <v/>
      </c>
      <c r="Z68" s="70" t="str">
        <f>IF(SUMIFS(TrackingTime!H:H,TrackingTime!F:F,Timer!B68,TrackingTime!C:C,"Hovedkontoret")&gt;0,SUMIFS(TrackingTime!H:H,TrackingTime!F:F,Timer!B68,TrackingTime!C:C,"Hovedkontoret"),"")</f>
        <v/>
      </c>
      <c r="AA68" s="71" t="str">
        <f t="shared" si="4"/>
        <v/>
      </c>
      <c r="AB68" t="str">
        <f>IF(SUMIFS(TrackingTime!H:H,TrackingTime!F:F,Timer!B68,TrackingTime!C:C,Start!$F$3)&gt;0,SUMIFS(TrackingTime!H:H,TrackingTime!F:F,Timer!B68,TrackingTime!C:C,Start!$F$3),"")</f>
        <v/>
      </c>
      <c r="AC68" s="71" t="str">
        <f t="shared" si="6"/>
        <v/>
      </c>
    </row>
    <row r="69" spans="1:29" x14ac:dyDescent="0.25">
      <c r="A69" s="15"/>
      <c r="B69" s="63">
        <f t="shared" si="55"/>
        <v>46054</v>
      </c>
      <c r="C69">
        <f>IFERROR(IF(OR(L69="Fri",L69="Ferie",L69="Syk",L69="Omsorg",B69&lt;Start!$B$7),0,IF(IFERROR(MATCH(B69,Start!A$253:A$273,0),0)&gt;0,VLOOKUP(B69,Start!A$253:F$273,3,FALSE)/100*Start!$B$4,VLOOKUP(WEEKDAY(B69,2),Start!A$240:F$246,4,FALSE))),"")</f>
        <v>0</v>
      </c>
      <c r="D69">
        <f>IFERROR(IF(OR(U69="Fri",U69="Ferie",U69="Syk",U69="Omsorg",B69&lt;Start!$F$7),0,IF(IFERROR(MATCH(B69,Start!A$253:A$273,0),0)&gt;0,VLOOKUP(B69,Start!A$253:F$273,3,FALSE)/100*Start!$F$4,VLOOKUP(WEEKDAY(B69,2),Start!A$240:F$246,6,FALSE))),"")</f>
        <v>0</v>
      </c>
      <c r="E69">
        <f t="shared" ca="1" si="23"/>
        <v>0</v>
      </c>
      <c r="F69">
        <f>IFERROR(IF(YEAR(B69)=Start!$B$1,MONTH(B69),""),"")</f>
        <v>2</v>
      </c>
      <c r="G69" s="64" t="str">
        <f>IFERROR(VLOOKUP(B69,Start!A$111:B$273,2,FALSE),"")</f>
        <v/>
      </c>
      <c r="H69" s="25"/>
      <c r="I69" s="78">
        <v>0.41666666666666669</v>
      </c>
      <c r="J69" s="78">
        <v>0.41666666666666669</v>
      </c>
      <c r="K69" s="1" t="str">
        <f>IF(Start!$B$6="Ja","",IF(((J69-I69)*24)&gt;=5.5,"X",""))</f>
        <v/>
      </c>
      <c r="L69" s="1" t="str">
        <f t="shared" si="56"/>
        <v/>
      </c>
      <c r="M69" s="58"/>
      <c r="N69" s="21" t="str">
        <f t="shared" si="51"/>
        <v/>
      </c>
      <c r="O69" s="21" t="str">
        <f t="shared" si="52"/>
        <v/>
      </c>
      <c r="Q69" s="25"/>
      <c r="R69" s="78">
        <v>0.41666666666666669</v>
      </c>
      <c r="S69" s="78">
        <v>0.41666666666666669</v>
      </c>
      <c r="T69" s="1" t="str">
        <f>IF(Start!$B$6="Ja","",IF(((S69-R69)*24)&gt;=5.5,"X",""))</f>
        <v/>
      </c>
      <c r="U69" s="1" t="str">
        <f t="shared" si="57"/>
        <v/>
      </c>
      <c r="V69" s="58"/>
      <c r="W69" s="21" t="str">
        <f t="shared" si="53"/>
        <v/>
      </c>
      <c r="X69" s="21" t="str">
        <f t="shared" si="54"/>
        <v/>
      </c>
      <c r="Z69" s="70" t="str">
        <f>IF(SUMIFS(TrackingTime!H:H,TrackingTime!F:F,Timer!B69,TrackingTime!C:C,"Hovedkontoret")&gt;0,SUMIFS(TrackingTime!H:H,TrackingTime!F:F,Timer!B69,TrackingTime!C:C,"Hovedkontoret"),"")</f>
        <v/>
      </c>
      <c r="AA69" s="71" t="str">
        <f t="shared" si="4"/>
        <v/>
      </c>
      <c r="AB69" t="str">
        <f>IF(SUMIFS(TrackingTime!H:H,TrackingTime!F:F,Timer!B69,TrackingTime!C:C,Start!$F$3)&gt;0,SUMIFS(TrackingTime!H:H,TrackingTime!F:F,Timer!B69,TrackingTime!C:C,Start!$F$3),"")</f>
        <v/>
      </c>
      <c r="AC69" s="71" t="str">
        <f t="shared" si="6"/>
        <v/>
      </c>
    </row>
    <row r="70" spans="1:29" x14ac:dyDescent="0.25">
      <c r="A70" s="15"/>
      <c r="B70" s="4" t="s">
        <v>11</v>
      </c>
      <c r="C70" s="24"/>
      <c r="D70" s="24"/>
      <c r="E70" s="24">
        <f t="shared" ca="1" si="23"/>
        <v>0</v>
      </c>
      <c r="F70" s="24" t="str">
        <f>IFERROR(IF(YEAR(B70)=Start!$B$1,MONTH(B70),""),"")</f>
        <v/>
      </c>
      <c r="G70" s="64" t="str">
        <f>IFERROR(VLOOKUP(B70,Start!A$111:B$273,2,FALSE),"")</f>
        <v/>
      </c>
      <c r="H70" s="4"/>
      <c r="I70" s="4"/>
      <c r="J70" s="4"/>
      <c r="K70" s="4"/>
      <c r="L70" s="5">
        <f t="shared" si="9"/>
        <v>0</v>
      </c>
      <c r="N70" s="24"/>
      <c r="O70" s="39">
        <f t="shared" ref="O70" si="58">SUM(O63:O69)</f>
        <v>0</v>
      </c>
      <c r="P70" s="40"/>
      <c r="Q70" s="41"/>
      <c r="R70" s="4"/>
      <c r="S70" s="4"/>
      <c r="T70" s="4"/>
      <c r="U70" s="5">
        <f t="shared" ref="U70" si="59">SUM($U63:$U69)</f>
        <v>0</v>
      </c>
      <c r="V70" s="58"/>
      <c r="W70" s="39"/>
      <c r="X70" s="39">
        <f t="shared" si="33"/>
        <v>0</v>
      </c>
      <c r="Z70" s="70" t="str">
        <f>IF(SUMIFS(TrackingTime!H:H,TrackingTime!F:F,Timer!B70,TrackingTime!C:C,"Hovedkontoret")&gt;0,SUMIFS(TrackingTime!H:H,TrackingTime!F:F,Timer!B70,TrackingTime!C:C,"Hovedkontoret"),"")</f>
        <v/>
      </c>
      <c r="AA70" s="71" t="str">
        <f t="shared" si="4"/>
        <v/>
      </c>
      <c r="AB70" t="str">
        <f>IF(SUMIFS(TrackingTime!H:H,TrackingTime!F:F,Timer!B70,TrackingTime!C:C,Start!$F$3)&gt;0,SUMIFS(TrackingTime!H:H,TrackingTime!F:F,Timer!B70,TrackingTime!C:C,Start!$F$3),"")</f>
        <v/>
      </c>
      <c r="AC70" s="71" t="str">
        <f t="shared" si="6"/>
        <v/>
      </c>
    </row>
    <row r="71" spans="1:29" x14ac:dyDescent="0.25">
      <c r="A71" s="15"/>
      <c r="B71" t="s">
        <v>90</v>
      </c>
      <c r="E71">
        <f t="shared" ca="1" si="23"/>
        <v>0</v>
      </c>
      <c r="F71" t="str">
        <f>IFERROR(IF(YEAR(B71)=Start!$B$1,MONTH(B71),""),"")</f>
        <v/>
      </c>
      <c r="G71" s="64" t="str">
        <f>IFERROR(VLOOKUP(B71,Start!A$111:B$273,2,FALSE),"")</f>
        <v/>
      </c>
      <c r="L71" s="1">
        <f t="shared" si="10"/>
        <v>0</v>
      </c>
      <c r="M71" s="1"/>
      <c r="N71" s="1"/>
      <c r="O71" s="21">
        <f t="shared" ref="O71" si="60">L71</f>
        <v>0</v>
      </c>
      <c r="P71" s="40"/>
      <c r="Q71" s="21"/>
      <c r="U71" s="1">
        <f t="shared" ref="U71" si="61">SUMIFS(D63:D69,F63:F69,"&gt;0")</f>
        <v>0</v>
      </c>
      <c r="V71" s="1"/>
      <c r="W71" s="1"/>
      <c r="X71" s="21">
        <f>U71</f>
        <v>0</v>
      </c>
      <c r="Z71" s="70" t="str">
        <f>IF(SUMIFS(TrackingTime!H:H,TrackingTime!F:F,Timer!B71,TrackingTime!C:C,"Hovedkontoret")&gt;0,SUMIFS(TrackingTime!H:H,TrackingTime!F:F,Timer!B71,TrackingTime!C:C,"Hovedkontoret"),"")</f>
        <v/>
      </c>
      <c r="AA71" s="71" t="str">
        <f t="shared" si="4"/>
        <v/>
      </c>
      <c r="AB71" t="str">
        <f>IF(SUMIFS(TrackingTime!H:H,TrackingTime!F:F,Timer!B71,TrackingTime!C:C,Start!$F$3)&gt;0,SUMIFS(TrackingTime!H:H,TrackingTime!F:F,Timer!B71,TrackingTime!C:C,Start!$F$3),"")</f>
        <v/>
      </c>
      <c r="AC71" s="71" t="str">
        <f t="shared" si="6"/>
        <v/>
      </c>
    </row>
    <row r="72" spans="1:29" x14ac:dyDescent="0.25">
      <c r="A72" s="16">
        <f>B69-B63-1</f>
        <v>5</v>
      </c>
      <c r="B72" t="s">
        <v>117</v>
      </c>
      <c r="E72">
        <f t="shared" ca="1" si="23"/>
        <v>0</v>
      </c>
      <c r="F72" t="str">
        <f>IFERROR(IF(YEAR(B72)=Start!$B$1,MONTH(B72),""),"")</f>
        <v/>
      </c>
      <c r="G72" s="64" t="str">
        <f>IFERROR(VLOOKUP(B72,Start!A$111:B$273,2,FALSE),"")</f>
        <v/>
      </c>
      <c r="L72" s="77">
        <f t="shared" ca="1" si="11"/>
        <v>0</v>
      </c>
      <c r="O72" s="21">
        <f t="shared" ref="O72" si="62">O70-O71</f>
        <v>0</v>
      </c>
      <c r="P72" s="21"/>
      <c r="Q72" s="21"/>
      <c r="U72" s="1">
        <f t="shared" ref="U72" ca="1" si="63">U70-U71*(IF(NETWORKDAYS($B63,TODAY())&lt;0,0,IF(NETWORKDAYS($B63,TODAY())&lt;=$A72,NETWORKDAYS($B63,TODAY()),$A72)))/$A72</f>
        <v>0</v>
      </c>
      <c r="V72" s="58"/>
      <c r="W72" s="21"/>
      <c r="X72" s="21">
        <f>X70-X71</f>
        <v>0</v>
      </c>
      <c r="Z72" s="70" t="str">
        <f>IF(SUMIFS(TrackingTime!H:H,TrackingTime!F:F,Timer!B72,TrackingTime!C:C,"Hovedkontoret")&gt;0,SUMIFS(TrackingTime!H:H,TrackingTime!F:F,Timer!B72,TrackingTime!C:C,"Hovedkontoret"),"")</f>
        <v/>
      </c>
      <c r="AA72" s="71" t="str">
        <f t="shared" si="4"/>
        <v/>
      </c>
      <c r="AB72" t="str">
        <f>IF(SUMIFS(TrackingTime!H:H,TrackingTime!F:F,Timer!B72,TrackingTime!C:C,Start!$F$3)&gt;0,SUMIFS(TrackingTime!H:H,TrackingTime!F:F,Timer!B72,TrackingTime!C:C,Start!$F$3),"")</f>
        <v/>
      </c>
      <c r="AC72" s="71" t="str">
        <f t="shared" si="6"/>
        <v/>
      </c>
    </row>
    <row r="73" spans="1:29" x14ac:dyDescent="0.25">
      <c r="A73" s="15"/>
      <c r="E73">
        <f t="shared" ca="1" si="23"/>
        <v>1</v>
      </c>
      <c r="F73" t="str">
        <f>IFERROR(IF(YEAR(B73)=Start!$B$1,MONTH(B73),""),"")</f>
        <v/>
      </c>
      <c r="G73" s="64" t="str">
        <f>IFERROR(VLOOKUP(B73,Start!A$111:B$273,2,FALSE),"")</f>
        <v/>
      </c>
      <c r="O73" s="2"/>
      <c r="P73" s="2"/>
      <c r="U73" s="1"/>
      <c r="V73" s="7"/>
      <c r="X73" s="2"/>
      <c r="Z73" s="70" t="str">
        <f>IF(SUMIFS(TrackingTime!H:H,TrackingTime!F:F,Timer!B73,TrackingTime!C:C,"Hovedkontoret")&gt;0,SUMIFS(TrackingTime!H:H,TrackingTime!F:F,Timer!B73,TrackingTime!C:C,"Hovedkontoret"),"")</f>
        <v/>
      </c>
      <c r="AA73" s="71" t="str">
        <f t="shared" si="4"/>
        <v/>
      </c>
      <c r="AB73" t="str">
        <f>IF(SUMIFS(TrackingTime!H:H,TrackingTime!F:F,Timer!B73,TrackingTime!C:C,Start!$F$3)&gt;0,SUMIFS(TrackingTime!H:H,TrackingTime!F:F,Timer!B73,TrackingTime!C:C,Start!$F$3),"")</f>
        <v/>
      </c>
      <c r="AC73" s="71" t="str">
        <f t="shared" si="6"/>
        <v/>
      </c>
    </row>
    <row r="74" spans="1:29" x14ac:dyDescent="0.25">
      <c r="A74" s="2" t="s">
        <v>82</v>
      </c>
      <c r="B74" s="14" t="s">
        <v>83</v>
      </c>
      <c r="E74">
        <f t="shared" ca="1" si="23"/>
        <v>0</v>
      </c>
      <c r="F74" t="str">
        <f>IFERROR(IF(YEAR(B74)=Start!$B$1,MONTH(B74),""),"")</f>
        <v/>
      </c>
      <c r="G74" s="64" t="str">
        <f>IFERROR(VLOOKUP(B74,Start!A$111:B$273,2,FALSE),"")</f>
        <v/>
      </c>
      <c r="H74" s="2" t="s">
        <v>86</v>
      </c>
      <c r="I74" s="2" t="s">
        <v>125</v>
      </c>
      <c r="J74" s="2" t="s">
        <v>126</v>
      </c>
      <c r="K74" s="2" t="s">
        <v>127</v>
      </c>
      <c r="L74" s="3" t="s">
        <v>87</v>
      </c>
      <c r="M74" s="6"/>
      <c r="N74" s="2" t="s">
        <v>88</v>
      </c>
      <c r="O74" s="2" t="s">
        <v>89</v>
      </c>
      <c r="P74" s="2"/>
      <c r="Q74" s="2" t="s">
        <v>86</v>
      </c>
      <c r="R74" s="2" t="s">
        <v>125</v>
      </c>
      <c r="S74" s="2" t="s">
        <v>126</v>
      </c>
      <c r="T74" s="2" t="s">
        <v>127</v>
      </c>
      <c r="U74" s="3" t="s">
        <v>87</v>
      </c>
      <c r="V74" s="6"/>
      <c r="W74" s="2" t="s">
        <v>88</v>
      </c>
      <c r="X74" s="2" t="s">
        <v>89</v>
      </c>
      <c r="Z74" s="70" t="str">
        <f>IF(SUMIFS(TrackingTime!H:H,TrackingTime!F:F,Timer!B74,TrackingTime!C:C,"Hovedkontoret")&gt;0,SUMIFS(TrackingTime!H:H,TrackingTime!F:F,Timer!B74,TrackingTime!C:C,"Hovedkontoret"),"")</f>
        <v/>
      </c>
      <c r="AA74" s="71" t="str">
        <f t="shared" si="4"/>
        <v/>
      </c>
      <c r="AB74" t="str">
        <f>IF(SUMIFS(TrackingTime!H:H,TrackingTime!F:F,Timer!B74,TrackingTime!C:C,Start!$F$3)&gt;0,SUMIFS(TrackingTime!H:H,TrackingTime!F:F,Timer!B74,TrackingTime!C:C,Start!$F$3),"")</f>
        <v/>
      </c>
      <c r="AC74" s="71" t="str">
        <f t="shared" si="6"/>
        <v/>
      </c>
    </row>
    <row r="75" spans="1:29" x14ac:dyDescent="0.25">
      <c r="A75" s="15">
        <f>WEEKNUM(B75,21)</f>
        <v>6</v>
      </c>
      <c r="B75" s="63">
        <f>B69+(DAY(1))</f>
        <v>46055</v>
      </c>
      <c r="C75" t="str">
        <f>IFERROR(IF(OR(L75="Fri",L75="Ferie",L75="Syk",L75="Omsorg",B75&lt;Start!$B$7),0,IF(IFERROR(MATCH(B75,Start!A$253:A$273,0),0)&gt;0,VLOOKUP(B75,Start!A$253:F$273,3,FALSE)/100*Start!$B$4,VLOOKUP(WEEKDAY(B75,2),Start!A$240:F$246,4,FALSE))),"")</f>
        <v/>
      </c>
      <c r="D75" t="str">
        <f>IFERROR(IF(OR(U75="Fri",U75="Ferie",U75="Syk",U75="Omsorg",B75&lt;Start!$F$7),0,IF(IFERROR(MATCH(B75,Start!A$253:A$273,0),0)&gt;0,VLOOKUP(B75,Start!A$253:F$273,3,FALSE)/100*Start!$F$4,VLOOKUP(WEEKDAY(B75,2),Start!A$240:F$246,6,FALSE))),"")</f>
        <v/>
      </c>
      <c r="E75">
        <f t="shared" ca="1" si="23"/>
        <v>0</v>
      </c>
      <c r="F75">
        <f>IFERROR(IF(YEAR(B75)=Start!$B$1,MONTH(B75),""),"")</f>
        <v>2</v>
      </c>
      <c r="G75" s="64" t="str">
        <f>IFERROR(VLOOKUP(B75,Start!A$111:B$273,2,FALSE),"")</f>
        <v/>
      </c>
      <c r="H75" s="21"/>
      <c r="I75" s="78">
        <v>0.33333333333333331</v>
      </c>
      <c r="J75" s="78">
        <v>0.33333333333333331</v>
      </c>
      <c r="K75" s="1" t="str">
        <f>IF(Start!$B$6="Ja","",IF(((J75-I75)*24)&gt;=5.5,"X",""))</f>
        <v/>
      </c>
      <c r="L75" s="1" t="str">
        <f>IF(_xlfn.IFNA(MATCH($A75,Start!$H$3:$H$11,0),0)&gt;0,"Ferie",IFERROR(IF(VLOOKUP(B75,Start!A$165:B$234,2,FALSE)&gt;0,"Fri",0),IF(AND((J75-I75)=0,Z75=""),"",MAX((IF(K75="X",(J75-I75)*24-0.5,(J75-I75)*24)),Z75))))</f>
        <v/>
      </c>
      <c r="M75" s="58"/>
      <c r="N75" s="21" t="str">
        <f t="shared" ref="N75:N81" si="64">IF(H75=0,"",H75)</f>
        <v/>
      </c>
      <c r="O75" s="21" t="str">
        <f t="shared" ref="O75:O81" si="65">IF(L75=0,"",L75)</f>
        <v/>
      </c>
      <c r="P75" s="2"/>
      <c r="Q75" s="21"/>
      <c r="R75" s="78">
        <v>0.33333333333333331</v>
      </c>
      <c r="S75" s="78">
        <v>0.33333333333333331</v>
      </c>
      <c r="T75" s="1" t="str">
        <f>IF(Start!$B$6="Ja","",IF(((S75-R75)*24)&gt;=5.5,"X",""))</f>
        <v/>
      </c>
      <c r="U75" s="1" t="str">
        <f>IF(_xlfn.IFNA(MATCH($A$15,Start!$H$3:$H$11,0),0)&gt;0,"Ferie",(IF(L75="fri","Fri",(IF(L75="syk","Syk",IF(L75="Ferie","Ferie",IF(AND((S75-R75)=0,AB75=""),"",MAX((IF(T75="X",(S75-R75)*24-0.5,(S75-R75)*24)),AB75))))))))</f>
        <v/>
      </c>
      <c r="V75" s="58"/>
      <c r="W75" s="21" t="str">
        <f t="shared" ref="W75:W81" si="66">IF(Q75=0,"",Q75)</f>
        <v/>
      </c>
      <c r="X75" s="21" t="str">
        <f t="shared" ref="X75:X81" si="67">IF(U75=0,"",U75)</f>
        <v/>
      </c>
      <c r="Z75" s="70" t="str">
        <f>IF(SUMIFS(TrackingTime!H:H,TrackingTime!F:F,Timer!B75,TrackingTime!C:C,"Hovedkontoret")&gt;0,SUMIFS(TrackingTime!H:H,TrackingTime!F:F,Timer!B75,TrackingTime!C:C,"Hovedkontoret"),"")</f>
        <v/>
      </c>
      <c r="AA75" s="71" t="str">
        <f t="shared" si="4"/>
        <v/>
      </c>
      <c r="AB75" t="str">
        <f>IF(SUMIFS(TrackingTime!H:H,TrackingTime!F:F,Timer!B75,TrackingTime!C:C,Start!$F$3)&gt;0,SUMIFS(TrackingTime!H:H,TrackingTime!F:F,Timer!B75,TrackingTime!C:C,Start!$F$3),"")</f>
        <v/>
      </c>
      <c r="AC75" s="71" t="str">
        <f t="shared" si="6"/>
        <v/>
      </c>
    </row>
    <row r="76" spans="1:29" x14ac:dyDescent="0.25">
      <c r="A76" s="15"/>
      <c r="B76" s="63">
        <f t="shared" ref="B76:B81" si="68">B75+DAY(1)</f>
        <v>46056</v>
      </c>
      <c r="C76" t="str">
        <f>IFERROR(IF(OR(L76="Fri",L76="Ferie",L76="Syk",L76="Omsorg",B76&lt;Start!$B$7),0,IF(IFERROR(MATCH(B76,Start!A$253:A$273,0),0)&gt;0,VLOOKUP(B76,Start!A$253:F$273,3,FALSE)/100*Start!$B$4,VLOOKUP(WEEKDAY(B76,2),Start!A$240:F$246,4,FALSE))),"")</f>
        <v/>
      </c>
      <c r="D76" t="str">
        <f>IFERROR(IF(OR(U76="Fri",U76="Ferie",U76="Syk",U76="Omsorg",B76&lt;Start!$F$7),0,IF(IFERROR(MATCH(B76,Start!A$253:A$273,0),0)&gt;0,VLOOKUP(B76,Start!A$253:F$273,3,FALSE)/100*Start!$F$4,VLOOKUP(WEEKDAY(B76,2),Start!A$240:F$246,6,FALSE))),"")</f>
        <v/>
      </c>
      <c r="E76">
        <f t="shared" ca="1" si="23"/>
        <v>0</v>
      </c>
      <c r="F76">
        <f>IFERROR(IF(YEAR(B76)=Start!$B$1,MONTH(B76),""),"")</f>
        <v>2</v>
      </c>
      <c r="G76" s="64" t="str">
        <f>IFERROR(VLOOKUP(B76,Start!A$111:B$273,2,FALSE),"")</f>
        <v/>
      </c>
      <c r="H76" s="21"/>
      <c r="I76" s="78">
        <v>0.33333333333333331</v>
      </c>
      <c r="J76" s="78">
        <v>0.33333333333333331</v>
      </c>
      <c r="K76" s="1" t="str">
        <f>IF(Start!$B$6="Ja","",IF(((J76-I76)*24)&gt;=5.5,"X",""))</f>
        <v/>
      </c>
      <c r="L76" s="1" t="str">
        <f>IF(_xlfn.IFNA(MATCH($A75,Start!$H$3:$H$11,0),0)&gt;0,"Ferie",IFERROR(IF(VLOOKUP($B76,Start!$A$165:$B$234,2,FALSE)&gt;0,"Fri",0),IF(AND((J76-I76)=0,Z76=""),"",MAX((IF(K76="X",(J76-I76)*24-0.5,(J76-I76)*24)),Z76))))</f>
        <v/>
      </c>
      <c r="M76" s="58"/>
      <c r="N76" s="21" t="str">
        <f t="shared" si="64"/>
        <v/>
      </c>
      <c r="O76" s="21" t="str">
        <f t="shared" si="65"/>
        <v/>
      </c>
      <c r="P76" s="2"/>
      <c r="Q76" s="21"/>
      <c r="R76" s="78">
        <v>0.33333333333333331</v>
      </c>
      <c r="S76" s="78">
        <v>0.33333333333333331</v>
      </c>
      <c r="T76" s="1" t="str">
        <f>IF(Start!$B$6="Ja","",IF(((S76-R76)*24)&gt;=5.5,"X",""))</f>
        <v/>
      </c>
      <c r="U76" s="1" t="str">
        <f>IF(_xlfn.IFNA(MATCH($A$15,Start!$H$3:$H$11,0),0)&gt;0,"Ferie",(IF(L76="fri","Fri",(IF(L76="syk","Syk",IF(L76="Ferie","Ferie",IF(AND((S76-R76)=0,AB76=""),"",MAX((IF(T76="X",(S76-R76)*24-0.5,(S76-R76)*24)),AB76))))))))</f>
        <v/>
      </c>
      <c r="V76" s="58"/>
      <c r="W76" s="21" t="str">
        <f t="shared" si="66"/>
        <v/>
      </c>
      <c r="X76" s="21" t="str">
        <f t="shared" si="67"/>
        <v/>
      </c>
      <c r="Z76" s="70" t="str">
        <f>IF(SUMIFS(TrackingTime!H:H,TrackingTime!F:F,Timer!B76,TrackingTime!C:C,"Hovedkontoret")&gt;0,SUMIFS(TrackingTime!H:H,TrackingTime!F:F,Timer!B76,TrackingTime!C:C,"Hovedkontoret"),"")</f>
        <v/>
      </c>
      <c r="AA76" s="71" t="str">
        <f t="shared" si="4"/>
        <v/>
      </c>
      <c r="AB76" t="str">
        <f>IF(SUMIFS(TrackingTime!H:H,TrackingTime!F:F,Timer!B76,TrackingTime!C:C,Start!$F$3)&gt;0,SUMIFS(TrackingTime!H:H,TrackingTime!F:F,Timer!B76,TrackingTime!C:C,Start!$F$3),"")</f>
        <v/>
      </c>
      <c r="AC76" s="71" t="str">
        <f t="shared" si="6"/>
        <v/>
      </c>
    </row>
    <row r="77" spans="1:29" x14ac:dyDescent="0.25">
      <c r="A77" s="15"/>
      <c r="B77" s="63">
        <f t="shared" si="68"/>
        <v>46057</v>
      </c>
      <c r="C77" t="str">
        <f>IFERROR(IF(OR(L77="Fri",L77="Ferie",L77="Syk",L77="Omsorg",B77&lt;Start!$B$7),0,IF(IFERROR(MATCH(B77,Start!A$253:A$273,0),0)&gt;0,VLOOKUP(B77,Start!A$253:F$273,3,FALSE)/100*Start!$B$4,VLOOKUP(WEEKDAY(B77,2),Start!A$240:F$246,4,FALSE))),"")</f>
        <v/>
      </c>
      <c r="D77" t="str">
        <f>IFERROR(IF(OR(U77="Fri",U77="Ferie",U77="Syk",U77="Omsorg",B77&lt;Start!$F$7),0,IF(IFERROR(MATCH(B77,Start!A$253:A$273,0),0)&gt;0,VLOOKUP(B77,Start!A$253:F$273,3,FALSE)/100*Start!$F$4,VLOOKUP(WEEKDAY(B77,2),Start!A$240:F$246,6,FALSE))),"")</f>
        <v/>
      </c>
      <c r="E77">
        <f t="shared" ca="1" si="23"/>
        <v>0</v>
      </c>
      <c r="F77">
        <f>IFERROR(IF(YEAR(B77)=Start!$B$1,MONTH(B77),""),"")</f>
        <v>2</v>
      </c>
      <c r="G77" s="64" t="str">
        <f>IFERROR(VLOOKUP(B77,Start!A$111:B$273,2,FALSE),"")</f>
        <v/>
      </c>
      <c r="H77" s="21"/>
      <c r="I77" s="78">
        <v>0.33333333333333331</v>
      </c>
      <c r="J77" s="78">
        <v>0.33333333333333331</v>
      </c>
      <c r="K77" s="1" t="str">
        <f>IF(Start!$B$6="Ja","",IF(((J77-I77)*24)&gt;=5.5,"X",""))</f>
        <v/>
      </c>
      <c r="L77" s="1" t="str">
        <f>IF(_xlfn.IFNA(MATCH($A75,Start!$H$3:$H$11,0),0)&gt;0,"Ferie",IFERROR(IF(VLOOKUP(B77,Start!A$165:B$234,2,FALSE)&gt;0,"Fri",0),IF(AND((J77-I77)=0,Z77=""),"",MAX((IF(K77="X",(J77-I77)*24-0.5,(J77-I77)*24)),Z77))))</f>
        <v/>
      </c>
      <c r="M77" s="58"/>
      <c r="N77" s="21" t="str">
        <f t="shared" si="64"/>
        <v/>
      </c>
      <c r="O77" s="21" t="str">
        <f t="shared" si="65"/>
        <v/>
      </c>
      <c r="P77" s="2"/>
      <c r="Q77" s="21"/>
      <c r="R77" s="78">
        <v>0.33333333333333331</v>
      </c>
      <c r="S77" s="78">
        <v>0.33333333333333331</v>
      </c>
      <c r="T77" s="1" t="str">
        <f>IF(Start!$B$6="Ja","",IF(((S77-R77)*24)&gt;=5.5,"X",""))</f>
        <v/>
      </c>
      <c r="U77" s="1" t="str">
        <f>IF(_xlfn.IFNA(MATCH($A$15,Start!$H$3:$H$11,0),0)&gt;0,"Ferie",(IF(L77="fri","Fri",(IF(L77="syk","Syk",IF(L77="Ferie","Ferie",IF(AND((S77-R77)=0,AB77=""),"",MAX((IF(T77="X",(S77-R77)*24-0.5,(S77-R77)*24)),AB77))))))))</f>
        <v/>
      </c>
      <c r="V77" s="58"/>
      <c r="W77" s="21" t="str">
        <f t="shared" si="66"/>
        <v/>
      </c>
      <c r="X77" s="21" t="str">
        <f t="shared" si="67"/>
        <v/>
      </c>
      <c r="Z77" s="70" t="str">
        <f>IF(SUMIFS(TrackingTime!H:H,TrackingTime!F:F,Timer!B77,TrackingTime!C:C,"Hovedkontoret")&gt;0,SUMIFS(TrackingTime!H:H,TrackingTime!F:F,Timer!B77,TrackingTime!C:C,"Hovedkontoret"),"")</f>
        <v/>
      </c>
      <c r="AA77" s="71" t="str">
        <f t="shared" si="4"/>
        <v/>
      </c>
      <c r="AB77" t="str">
        <f>IF(SUMIFS(TrackingTime!H:H,TrackingTime!F:F,Timer!B77,TrackingTime!C:C,Start!$F$3)&gt;0,SUMIFS(TrackingTime!H:H,TrackingTime!F:F,Timer!B77,TrackingTime!C:C,Start!$F$3),"")</f>
        <v/>
      </c>
      <c r="AC77" s="71" t="str">
        <f t="shared" si="6"/>
        <v/>
      </c>
    </row>
    <row r="78" spans="1:29" x14ac:dyDescent="0.25">
      <c r="A78" s="15"/>
      <c r="B78" s="63">
        <f t="shared" si="68"/>
        <v>46058</v>
      </c>
      <c r="C78" t="str">
        <f>IFERROR(IF(OR(L78="Fri",L78="Ferie",L78="Syk",L78="Omsorg",B78&lt;Start!$B$7),0,IF(IFERROR(MATCH(B78,Start!A$253:A$273,0),0)&gt;0,VLOOKUP(B78,Start!A$253:F$273,3,FALSE)/100*Start!$B$4,VLOOKUP(WEEKDAY(B78,2),Start!A$240:F$246,4,FALSE))),"")</f>
        <v/>
      </c>
      <c r="D78" t="str">
        <f>IFERROR(IF(OR(U78="Fri",U78="Ferie",U78="Syk",U78="Omsorg",B78&lt;Start!$F$7),0,IF(IFERROR(MATCH(B78,Start!A$253:A$273,0),0)&gt;0,VLOOKUP(B78,Start!A$253:F$273,3,FALSE)/100*Start!$F$4,VLOOKUP(WEEKDAY(B78,2),Start!A$240:F$246,6,FALSE))),"")</f>
        <v/>
      </c>
      <c r="E78">
        <f t="shared" ca="1" si="23"/>
        <v>0</v>
      </c>
      <c r="F78">
        <f>IFERROR(IF(YEAR(B78)=Start!$B$1,MONTH(B78),""),"")</f>
        <v>2</v>
      </c>
      <c r="G78" s="64" t="str">
        <f>IFERROR(VLOOKUP(B78,Start!A$111:B$273,2,FALSE),"")</f>
        <v/>
      </c>
      <c r="H78" s="21"/>
      <c r="I78" s="78">
        <v>0.33333333333333331</v>
      </c>
      <c r="J78" s="78">
        <v>0.33333333333333331</v>
      </c>
      <c r="K78" s="1" t="str">
        <f>IF(Start!$B$6="Ja","",IF(((J78-I78)*24)&gt;=5.5,"X",""))</f>
        <v/>
      </c>
      <c r="L78" s="1" t="str">
        <f>IF(_xlfn.IFNA(MATCH($A75,Start!$H$3:$H$11,0),0)&gt;0,"Ferie",IFERROR(IF(VLOOKUP(B78,Start!A$165:B$234,2,FALSE)&gt;0,"Fri",0),IF(AND((J78-I78)=0,Z78=""),"",MAX((IF(K78="X",(J78-I78)*24-0.5,(J78-I78)*24)),Z78))))</f>
        <v/>
      </c>
      <c r="M78" s="58"/>
      <c r="N78" s="21" t="str">
        <f t="shared" si="64"/>
        <v/>
      </c>
      <c r="O78" s="21" t="str">
        <f t="shared" si="65"/>
        <v/>
      </c>
      <c r="P78" s="2"/>
      <c r="Q78" s="21"/>
      <c r="R78" s="78">
        <v>0.33333333333333331</v>
      </c>
      <c r="S78" s="78">
        <v>0.33333333333333331</v>
      </c>
      <c r="T78" s="1" t="str">
        <f>IF(Start!$B$6="Ja","",IF(((S78-R78)*24)&gt;=5.5,"X",""))</f>
        <v/>
      </c>
      <c r="U78" s="1" t="str">
        <f>IF(_xlfn.IFNA(MATCH($A$15,Start!$H$3:$H$11,0),0)&gt;0,"Ferie",(IF(L78="fri","Fri",(IF(L78="syk","Syk",IF(L78="Ferie","Ferie",IF(AND((S78-R78)=0,AB78=""),"",MAX((IF(T78="X",(S78-R78)*24-0.5,(S78-R78)*24)),AB78))))))))</f>
        <v/>
      </c>
      <c r="V78" s="58"/>
      <c r="W78" s="21" t="str">
        <f t="shared" si="66"/>
        <v/>
      </c>
      <c r="X78" s="21" t="str">
        <f t="shared" si="67"/>
        <v/>
      </c>
      <c r="Z78" s="70" t="str">
        <f>IF(SUMIFS(TrackingTime!H:H,TrackingTime!F:F,Timer!B78,TrackingTime!C:C,"Hovedkontoret")&gt;0,SUMIFS(TrackingTime!H:H,TrackingTime!F:F,Timer!B78,TrackingTime!C:C,"Hovedkontoret"),"")</f>
        <v/>
      </c>
      <c r="AA78" s="71" t="str">
        <f t="shared" si="4"/>
        <v/>
      </c>
      <c r="AB78" t="str">
        <f>IF(SUMIFS(TrackingTime!H:H,TrackingTime!F:F,Timer!B78,TrackingTime!C:C,Start!$F$3)&gt;0,SUMIFS(TrackingTime!H:H,TrackingTime!F:F,Timer!B78,TrackingTime!C:C,Start!$F$3),"")</f>
        <v/>
      </c>
      <c r="AC78" s="71" t="str">
        <f t="shared" si="6"/>
        <v/>
      </c>
    </row>
    <row r="79" spans="1:29" x14ac:dyDescent="0.25">
      <c r="A79" s="15"/>
      <c r="B79" s="63">
        <f t="shared" si="68"/>
        <v>46059</v>
      </c>
      <c r="C79" t="str">
        <f>IFERROR(IF(OR(L79="Fri",L79="Ferie",L79="Syk",L79="Omsorg",B79&lt;Start!$B$7),0,IF(IFERROR(MATCH(B79,Start!A$253:A$273,0),0)&gt;0,VLOOKUP(B79,Start!A$253:F$273,3,FALSE)/100*Start!$B$4,VLOOKUP(WEEKDAY(B79,2),Start!A$240:F$246,4,FALSE))),"")</f>
        <v/>
      </c>
      <c r="D79" t="str">
        <f>IFERROR(IF(OR(U79="Fri",U79="Ferie",U79="Syk",U79="Omsorg",B79&lt;Start!$F$7),0,IF(IFERROR(MATCH(B79,Start!A$253:A$273,0),0)&gt;0,VLOOKUP(B79,Start!A$253:F$273,3,FALSE)/100*Start!$F$4,VLOOKUP(WEEKDAY(B79,2),Start!A$240:F$246,6,FALSE))),"")</f>
        <v/>
      </c>
      <c r="E79">
        <f t="shared" ca="1" si="23"/>
        <v>0</v>
      </c>
      <c r="F79">
        <f>IFERROR(IF(YEAR(B79)=Start!$B$1,MONTH(B79),""),"")</f>
        <v>2</v>
      </c>
      <c r="G79" s="64" t="str">
        <f>IFERROR(VLOOKUP(B79,Start!A$111:B$273,2,FALSE),"")</f>
        <v/>
      </c>
      <c r="H79" s="21"/>
      <c r="I79" s="78">
        <v>0.33333333333333331</v>
      </c>
      <c r="J79" s="78">
        <v>0.33333333333333331</v>
      </c>
      <c r="K79" s="1" t="str">
        <f>IF(Start!$B$6="Ja","",IF(((J79-I79)*24)&gt;=5.5,"X",""))</f>
        <v/>
      </c>
      <c r="L79" s="1" t="str">
        <f>IF(_xlfn.IFNA(MATCH($A75,Start!$H$3:$H$11,0),0)&gt;0,"Ferie",IFERROR(IF(VLOOKUP(B79,Start!A$165:B$234,2,FALSE)&gt;0,"Fri",0),IF(AND((J79-I79)=0,Z79=""),"",MAX((IF(K79="X",(J79-I79)*24-0.5,(J79-I79)*24)),Z79))))</f>
        <v/>
      </c>
      <c r="M79" s="58"/>
      <c r="N79" s="21" t="str">
        <f t="shared" si="64"/>
        <v/>
      </c>
      <c r="O79" s="21" t="str">
        <f t="shared" si="65"/>
        <v/>
      </c>
      <c r="P79" s="2"/>
      <c r="Q79" s="21"/>
      <c r="R79" s="78">
        <v>0.33333333333333331</v>
      </c>
      <c r="S79" s="78">
        <v>0.33333333333333331</v>
      </c>
      <c r="T79" s="1" t="str">
        <f>IF(Start!$B$6="Ja","",IF(((S79-R79)*24)&gt;=5.5,"X",""))</f>
        <v/>
      </c>
      <c r="U79" s="1" t="str">
        <f>IF(_xlfn.IFNA(MATCH($A$15,Start!$H$3:$H$11,0),0)&gt;0,"Ferie",(IF(L79="fri","Fri",(IF(L79="syk","Syk",IF(L79="Ferie","Ferie",IF(AND((S79-R79)=0,AB79=""),"",MAX((IF(T79="X",(S79-R79)*24-0.5,(S79-R79)*24)),AB79))))))))</f>
        <v/>
      </c>
      <c r="V79" s="58"/>
      <c r="W79" s="21" t="str">
        <f t="shared" si="66"/>
        <v/>
      </c>
      <c r="X79" s="21" t="str">
        <f t="shared" si="67"/>
        <v/>
      </c>
      <c r="Z79" s="70" t="str">
        <f>IF(SUMIFS(TrackingTime!H:H,TrackingTime!F:F,Timer!B79,TrackingTime!C:C,"Hovedkontoret")&gt;0,SUMIFS(TrackingTime!H:H,TrackingTime!F:F,Timer!B79,TrackingTime!C:C,"Hovedkontoret"),"")</f>
        <v/>
      </c>
      <c r="AA79" s="71" t="str">
        <f t="shared" ref="AA79:AA142" si="69">IFERROR(Z79/24,"")</f>
        <v/>
      </c>
      <c r="AB79" t="str">
        <f>IF(SUMIFS(TrackingTime!H:H,TrackingTime!F:F,Timer!B79,TrackingTime!C:C,Start!$F$3)&gt;0,SUMIFS(TrackingTime!H:H,TrackingTime!F:F,Timer!B79,TrackingTime!C:C,Start!$F$3),"")</f>
        <v/>
      </c>
      <c r="AC79" s="71" t="str">
        <f t="shared" si="6"/>
        <v/>
      </c>
    </row>
    <row r="80" spans="1:29" x14ac:dyDescent="0.25">
      <c r="A80" s="15"/>
      <c r="B80" s="63">
        <f t="shared" si="68"/>
        <v>46060</v>
      </c>
      <c r="C80">
        <f>IFERROR(IF(OR(L80="Fri",L80="Ferie",L80="Syk",L80="Omsorg",B80&lt;Start!$B$7),0,IF(IFERROR(MATCH(B80,Start!A$253:A$273,0),0)&gt;0,VLOOKUP(B80,Start!A$253:F$273,3,FALSE)/100*Start!$B$4,VLOOKUP(WEEKDAY(B80,2),Start!A$240:F$246,4,FALSE))),"")</f>
        <v>0</v>
      </c>
      <c r="D80">
        <f>IFERROR(IF(OR(U80="Fri",U80="Ferie",U80="Syk",U80="Omsorg",B80&lt;Start!$F$7),0,IF(IFERROR(MATCH(B80,Start!A$253:A$273,0),0)&gt;0,VLOOKUP(B80,Start!A$253:F$273,3,FALSE)/100*Start!$F$4,VLOOKUP(WEEKDAY(B80,2),Start!A$240:F$246,6,FALSE))),"")</f>
        <v>0</v>
      </c>
      <c r="E80">
        <f t="shared" ca="1" si="23"/>
        <v>0</v>
      </c>
      <c r="F80">
        <f>IFERROR(IF(YEAR(B80)=Start!$B$1,MONTH(B80),""),"")</f>
        <v>2</v>
      </c>
      <c r="G80" s="64" t="str">
        <f>IFERROR(VLOOKUP(B80,Start!A$111:B$273,2,FALSE),"")</f>
        <v/>
      </c>
      <c r="H80" s="21"/>
      <c r="I80" s="78">
        <v>0.41666666666666669</v>
      </c>
      <c r="J80" s="78">
        <v>0.41666666666666669</v>
      </c>
      <c r="K80" s="1" t="str">
        <f>IF(Start!$B$6="Ja","",IF(((J80-I80)*24)&gt;=5.5,"X",""))</f>
        <v/>
      </c>
      <c r="L80" s="1" t="str">
        <f t="shared" ref="L80:L81" si="70">IF(AND((J80-I80)=0,Z80=""),"",MAX((IF(K80="X",(J80-I80)*24-0.5,(J80-I80)*24)),Z80))</f>
        <v/>
      </c>
      <c r="M80" s="58"/>
      <c r="N80" s="21" t="str">
        <f t="shared" si="64"/>
        <v/>
      </c>
      <c r="O80" s="21" t="str">
        <f t="shared" si="65"/>
        <v/>
      </c>
      <c r="P80" s="2"/>
      <c r="Q80" s="21"/>
      <c r="R80" s="78">
        <v>0.41666666666666669</v>
      </c>
      <c r="S80" s="78">
        <v>0.41666666666666669</v>
      </c>
      <c r="T80" s="1" t="str">
        <f>IF(Start!$B$6="Ja","",IF(((S80-R80)*24)&gt;=5.5,"X",""))</f>
        <v/>
      </c>
      <c r="U80" s="1" t="str">
        <f t="shared" ref="U80:U81" si="71">IF(AND((S80-R80)=0,AB80=""),"",MAX((IF(T80="X",(S80-R80)*24-0.5,(S80-R80)*24)),AB80))</f>
        <v/>
      </c>
      <c r="V80" s="58"/>
      <c r="W80" s="21" t="str">
        <f t="shared" si="66"/>
        <v/>
      </c>
      <c r="X80" s="21" t="str">
        <f t="shared" si="67"/>
        <v/>
      </c>
      <c r="Z80" s="70" t="str">
        <f>IF(SUMIFS(TrackingTime!H:H,TrackingTime!F:F,Timer!B80,TrackingTime!C:C,"Hovedkontoret")&gt;0,SUMIFS(TrackingTime!H:H,TrackingTime!F:F,Timer!B80,TrackingTime!C:C,"Hovedkontoret"),"")</f>
        <v/>
      </c>
      <c r="AA80" s="71" t="str">
        <f t="shared" si="69"/>
        <v/>
      </c>
      <c r="AB80" t="str">
        <f>IF(SUMIFS(TrackingTime!H:H,TrackingTime!F:F,Timer!B80,TrackingTime!C:C,Start!$F$3)&gt;0,SUMIFS(TrackingTime!H:H,TrackingTime!F:F,Timer!B80,TrackingTime!C:C,Start!$F$3),"")</f>
        <v/>
      </c>
      <c r="AC80" s="71" t="str">
        <f t="shared" ref="AC80:AC143" si="72">IFERROR(AB80/24,"")</f>
        <v/>
      </c>
    </row>
    <row r="81" spans="1:29" x14ac:dyDescent="0.25">
      <c r="A81" s="15"/>
      <c r="B81" s="63">
        <f t="shared" si="68"/>
        <v>46061</v>
      </c>
      <c r="C81">
        <f>IFERROR(IF(OR(L81="Fri",L81="Ferie",L81="Syk",L81="Omsorg",B81&lt;Start!$B$7),0,IF(IFERROR(MATCH(B81,Start!A$253:A$273,0),0)&gt;0,VLOOKUP(B81,Start!A$253:F$273,3,FALSE)/100*Start!$B$4,VLOOKUP(WEEKDAY(B81,2),Start!A$240:F$246,4,FALSE))),"")</f>
        <v>0</v>
      </c>
      <c r="D81">
        <f>IFERROR(IF(OR(U81="Fri",U81="Ferie",U81="Syk",U81="Omsorg",B81&lt;Start!$F$7),0,IF(IFERROR(MATCH(B81,Start!A$253:A$273,0),0)&gt;0,VLOOKUP(B81,Start!A$253:F$273,3,FALSE)/100*Start!$F$4,VLOOKUP(WEEKDAY(B81,2),Start!A$240:F$246,6,FALSE))),"")</f>
        <v>0</v>
      </c>
      <c r="E81">
        <f t="shared" ca="1" si="23"/>
        <v>0</v>
      </c>
      <c r="F81">
        <f>IFERROR(IF(YEAR(B81)=Start!$B$1,MONTH(B81),""),"")</f>
        <v>2</v>
      </c>
      <c r="G81" s="64" t="str">
        <f>IFERROR(VLOOKUP(B81,Start!A$111:B$273,2,FALSE),"")</f>
        <v/>
      </c>
      <c r="H81" s="25"/>
      <c r="I81" s="78">
        <v>0.41666666666666669</v>
      </c>
      <c r="J81" s="78">
        <v>0.41666666666666669</v>
      </c>
      <c r="K81" s="1" t="str">
        <f>IF(Start!$B$6="Ja","",IF(((J81-I81)*24)&gt;=5.5,"X",""))</f>
        <v/>
      </c>
      <c r="L81" s="1" t="str">
        <f t="shared" si="70"/>
        <v/>
      </c>
      <c r="M81" s="58"/>
      <c r="N81" s="21" t="str">
        <f t="shared" si="64"/>
        <v/>
      </c>
      <c r="O81" s="21" t="str">
        <f t="shared" si="65"/>
        <v/>
      </c>
      <c r="Q81" s="25"/>
      <c r="R81" s="78">
        <v>0.41666666666666669</v>
      </c>
      <c r="S81" s="78">
        <v>0.41666666666666669</v>
      </c>
      <c r="T81" s="1" t="str">
        <f>IF(Start!$B$6="Ja","",IF(((S81-R81)*24)&gt;=5.5,"X",""))</f>
        <v/>
      </c>
      <c r="U81" s="1" t="str">
        <f t="shared" si="71"/>
        <v/>
      </c>
      <c r="V81" s="58"/>
      <c r="W81" s="21" t="str">
        <f t="shared" si="66"/>
        <v/>
      </c>
      <c r="X81" s="21" t="str">
        <f t="shared" si="67"/>
        <v/>
      </c>
      <c r="Z81" s="70" t="str">
        <f>IF(SUMIFS(TrackingTime!H:H,TrackingTime!F:F,Timer!B81,TrackingTime!C:C,"Hovedkontoret")&gt;0,SUMIFS(TrackingTime!H:H,TrackingTime!F:F,Timer!B81,TrackingTime!C:C,"Hovedkontoret"),"")</f>
        <v/>
      </c>
      <c r="AA81" s="71" t="str">
        <f t="shared" si="69"/>
        <v/>
      </c>
      <c r="AB81" t="str">
        <f>IF(SUMIFS(TrackingTime!H:H,TrackingTime!F:F,Timer!B81,TrackingTime!C:C,Start!$F$3)&gt;0,SUMIFS(TrackingTime!H:H,TrackingTime!F:F,Timer!B81,TrackingTime!C:C,Start!$F$3),"")</f>
        <v/>
      </c>
      <c r="AC81" s="71" t="str">
        <f t="shared" si="72"/>
        <v/>
      </c>
    </row>
    <row r="82" spans="1:29" x14ac:dyDescent="0.25">
      <c r="A82" s="15"/>
      <c r="B82" s="4" t="s">
        <v>11</v>
      </c>
      <c r="C82" s="24"/>
      <c r="D82" s="24"/>
      <c r="E82" s="24">
        <f t="shared" ca="1" si="23"/>
        <v>0</v>
      </c>
      <c r="F82" s="24" t="str">
        <f>IFERROR(IF(YEAR(B82)=Start!$B$1,MONTH(B82),""),"")</f>
        <v/>
      </c>
      <c r="G82" s="64" t="str">
        <f>IFERROR(VLOOKUP(B82,Start!A$111:B$273,2,FALSE),"")</f>
        <v/>
      </c>
      <c r="H82" s="4"/>
      <c r="I82" s="4"/>
      <c r="J82" s="4"/>
      <c r="K82" s="4"/>
      <c r="L82" s="5">
        <f t="shared" si="9"/>
        <v>0</v>
      </c>
      <c r="N82" s="24"/>
      <c r="O82" s="39">
        <f t="shared" ref="O82" si="73">SUM(O75:O81)</f>
        <v>0</v>
      </c>
      <c r="P82" s="40"/>
      <c r="Q82" s="41"/>
      <c r="R82" s="4"/>
      <c r="S82" s="4"/>
      <c r="T82" s="4"/>
      <c r="U82" s="5">
        <f t="shared" ref="U82" si="74">SUM($U75:$U81)</f>
        <v>0</v>
      </c>
      <c r="V82" s="58"/>
      <c r="W82" s="39"/>
      <c r="X82" s="39">
        <f t="shared" si="33"/>
        <v>0</v>
      </c>
      <c r="Z82" s="70" t="str">
        <f>IF(SUMIFS(TrackingTime!H:H,TrackingTime!F:F,Timer!B82,TrackingTime!C:C,"Hovedkontoret")&gt;0,SUMIFS(TrackingTime!H:H,TrackingTime!F:F,Timer!B82,TrackingTime!C:C,"Hovedkontoret"),"")</f>
        <v/>
      </c>
      <c r="AA82" s="71" t="str">
        <f t="shared" si="69"/>
        <v/>
      </c>
      <c r="AB82" t="str">
        <f>IF(SUMIFS(TrackingTime!H:H,TrackingTime!F:F,Timer!B82,TrackingTime!C:C,Start!$F$3)&gt;0,SUMIFS(TrackingTime!H:H,TrackingTime!F:F,Timer!B82,TrackingTime!C:C,Start!$F$3),"")</f>
        <v/>
      </c>
      <c r="AC82" s="71" t="str">
        <f t="shared" si="72"/>
        <v/>
      </c>
    </row>
    <row r="83" spans="1:29" x14ac:dyDescent="0.25">
      <c r="A83" s="15"/>
      <c r="B83" t="s">
        <v>90</v>
      </c>
      <c r="E83">
        <f t="shared" ca="1" si="23"/>
        <v>0</v>
      </c>
      <c r="F83" t="str">
        <f>IFERROR(IF(YEAR(B83)=Start!$B$1,MONTH(B83),""),"")</f>
        <v/>
      </c>
      <c r="G83" s="64" t="str">
        <f>IFERROR(VLOOKUP(B83,Start!A$111:B$273,2,FALSE),"")</f>
        <v/>
      </c>
      <c r="L83" s="1">
        <f t="shared" si="10"/>
        <v>0</v>
      </c>
      <c r="M83" s="1"/>
      <c r="N83" s="1"/>
      <c r="O83" s="21">
        <f t="shared" ref="O83" si="75">L83</f>
        <v>0</v>
      </c>
      <c r="P83" s="40"/>
      <c r="Q83" s="21"/>
      <c r="U83" s="1">
        <f t="shared" ref="U83" si="76">SUMIFS(D75:D81,F75:F81,"&gt;0")</f>
        <v>0</v>
      </c>
      <c r="V83" s="1"/>
      <c r="W83" s="1"/>
      <c r="X83" s="21">
        <f>U83</f>
        <v>0</v>
      </c>
      <c r="Z83" s="70" t="str">
        <f>IF(SUMIFS(TrackingTime!H:H,TrackingTime!F:F,Timer!B83,TrackingTime!C:C,"Hovedkontoret")&gt;0,SUMIFS(TrackingTime!H:H,TrackingTime!F:F,Timer!B83,TrackingTime!C:C,"Hovedkontoret"),"")</f>
        <v/>
      </c>
      <c r="AA83" s="71" t="str">
        <f t="shared" si="69"/>
        <v/>
      </c>
      <c r="AB83" t="str">
        <f>IF(SUMIFS(TrackingTime!H:H,TrackingTime!F:F,Timer!B83,TrackingTime!C:C,Start!$F$3)&gt;0,SUMIFS(TrackingTime!H:H,TrackingTime!F:F,Timer!B83,TrackingTime!C:C,Start!$F$3),"")</f>
        <v/>
      </c>
      <c r="AC83" s="71" t="str">
        <f t="shared" si="72"/>
        <v/>
      </c>
    </row>
    <row r="84" spans="1:29" x14ac:dyDescent="0.25">
      <c r="A84" s="16">
        <f>B81-B75-1</f>
        <v>5</v>
      </c>
      <c r="B84" t="s">
        <v>117</v>
      </c>
      <c r="E84">
        <f t="shared" ca="1" si="23"/>
        <v>0</v>
      </c>
      <c r="F84" t="str">
        <f>IFERROR(IF(YEAR(B84)=Start!$B$1,MONTH(B84),""),"")</f>
        <v/>
      </c>
      <c r="G84" s="64" t="str">
        <f>IFERROR(VLOOKUP(B84,Start!A$111:B$273,2,FALSE),"")</f>
        <v/>
      </c>
      <c r="L84" s="77">
        <f t="shared" ca="1" si="11"/>
        <v>0</v>
      </c>
      <c r="O84" s="21">
        <f t="shared" ref="O84" si="77">O82-O83</f>
        <v>0</v>
      </c>
      <c r="P84" s="21"/>
      <c r="Q84" s="21"/>
      <c r="U84" s="1">
        <f t="shared" ref="U84" ca="1" si="78">U82-U83*(IF(NETWORKDAYS($B75,TODAY())&lt;0,0,IF(NETWORKDAYS($B75,TODAY())&lt;=$A84,NETWORKDAYS($B75,TODAY()),$A84)))/$A84</f>
        <v>0</v>
      </c>
      <c r="V84" s="58"/>
      <c r="W84" s="21"/>
      <c r="X84" s="21">
        <f>X82-X83</f>
        <v>0</v>
      </c>
      <c r="Z84" s="70" t="str">
        <f>IF(SUMIFS(TrackingTime!H:H,TrackingTime!F:F,Timer!B84,TrackingTime!C:C,"Hovedkontoret")&gt;0,SUMIFS(TrackingTime!H:H,TrackingTime!F:F,Timer!B84,TrackingTime!C:C,"Hovedkontoret"),"")</f>
        <v/>
      </c>
      <c r="AA84" s="71" t="str">
        <f t="shared" si="69"/>
        <v/>
      </c>
      <c r="AB84" t="str">
        <f>IF(SUMIFS(TrackingTime!H:H,TrackingTime!F:F,Timer!B84,TrackingTime!C:C,Start!$F$3)&gt;0,SUMIFS(TrackingTime!H:H,TrackingTime!F:F,Timer!B84,TrackingTime!C:C,Start!$F$3),"")</f>
        <v/>
      </c>
      <c r="AC84" s="71" t="str">
        <f t="shared" si="72"/>
        <v/>
      </c>
    </row>
    <row r="85" spans="1:29" x14ac:dyDescent="0.25">
      <c r="A85" s="15"/>
      <c r="E85">
        <f t="shared" ca="1" si="23"/>
        <v>1</v>
      </c>
      <c r="F85" t="str">
        <f>IFERROR(IF(YEAR(B85)=Start!$B$1,MONTH(B85),""),"")</f>
        <v/>
      </c>
      <c r="G85" s="64" t="str">
        <f>IFERROR(VLOOKUP(B85,Start!A$111:B$273,2,FALSE),"")</f>
        <v/>
      </c>
      <c r="O85" s="2"/>
      <c r="P85" s="2"/>
      <c r="U85" s="1"/>
      <c r="V85" s="7"/>
      <c r="X85" s="2"/>
      <c r="Z85" s="70" t="str">
        <f>IF(SUMIFS(TrackingTime!H:H,TrackingTime!F:F,Timer!B85,TrackingTime!C:C,"Hovedkontoret")&gt;0,SUMIFS(TrackingTime!H:H,TrackingTime!F:F,Timer!B85,TrackingTime!C:C,"Hovedkontoret"),"")</f>
        <v/>
      </c>
      <c r="AA85" s="71" t="str">
        <f t="shared" si="69"/>
        <v/>
      </c>
      <c r="AB85" t="str">
        <f>IF(SUMIFS(TrackingTime!H:H,TrackingTime!F:F,Timer!B85,TrackingTime!C:C,Start!$F$3)&gt;0,SUMIFS(TrackingTime!H:H,TrackingTime!F:F,Timer!B85,TrackingTime!C:C,Start!$F$3),"")</f>
        <v/>
      </c>
      <c r="AC85" s="71" t="str">
        <f t="shared" si="72"/>
        <v/>
      </c>
    </row>
    <row r="86" spans="1:29" x14ac:dyDescent="0.25">
      <c r="A86" s="2" t="s">
        <v>82</v>
      </c>
      <c r="B86" s="14" t="s">
        <v>83</v>
      </c>
      <c r="E86">
        <f t="shared" ca="1" si="23"/>
        <v>0</v>
      </c>
      <c r="F86" t="str">
        <f>IFERROR(IF(YEAR(B86)=Start!$B$1,MONTH(B86),""),"")</f>
        <v/>
      </c>
      <c r="G86" s="64" t="str">
        <f>IFERROR(VLOOKUP(B86,Start!A$111:B$273,2,FALSE),"")</f>
        <v/>
      </c>
      <c r="H86" s="2" t="s">
        <v>86</v>
      </c>
      <c r="I86" s="2" t="s">
        <v>125</v>
      </c>
      <c r="J86" s="2" t="s">
        <v>126</v>
      </c>
      <c r="K86" s="2" t="s">
        <v>127</v>
      </c>
      <c r="L86" s="3" t="s">
        <v>87</v>
      </c>
      <c r="M86" s="6"/>
      <c r="N86" s="2" t="s">
        <v>88</v>
      </c>
      <c r="O86" s="2" t="s">
        <v>89</v>
      </c>
      <c r="P86" s="2"/>
      <c r="Q86" s="2" t="s">
        <v>86</v>
      </c>
      <c r="R86" s="2" t="s">
        <v>125</v>
      </c>
      <c r="S86" s="2" t="s">
        <v>126</v>
      </c>
      <c r="T86" s="2" t="s">
        <v>127</v>
      </c>
      <c r="U86" s="3" t="s">
        <v>87</v>
      </c>
      <c r="V86" s="6"/>
      <c r="W86" s="2" t="s">
        <v>88</v>
      </c>
      <c r="X86" s="2" t="s">
        <v>89</v>
      </c>
      <c r="Z86" s="70" t="str">
        <f>IF(SUMIFS(TrackingTime!H:H,TrackingTime!F:F,Timer!B86,TrackingTime!C:C,"Hovedkontoret")&gt;0,SUMIFS(TrackingTime!H:H,TrackingTime!F:F,Timer!B86,TrackingTime!C:C,"Hovedkontoret"),"")</f>
        <v/>
      </c>
      <c r="AA86" s="71" t="str">
        <f t="shared" si="69"/>
        <v/>
      </c>
      <c r="AB86" t="str">
        <f>IF(SUMIFS(TrackingTime!H:H,TrackingTime!F:F,Timer!B86,TrackingTime!C:C,Start!$F$3)&gt;0,SUMIFS(TrackingTime!H:H,TrackingTime!F:F,Timer!B86,TrackingTime!C:C,Start!$F$3),"")</f>
        <v/>
      </c>
      <c r="AC86" s="71" t="str">
        <f t="shared" si="72"/>
        <v/>
      </c>
    </row>
    <row r="87" spans="1:29" x14ac:dyDescent="0.25">
      <c r="A87" s="15">
        <f>WEEKNUM(B87,21)</f>
        <v>7</v>
      </c>
      <c r="B87" s="63">
        <f>B81+(DAY(1))</f>
        <v>46062</v>
      </c>
      <c r="C87" t="str">
        <f>IFERROR(IF(OR(L87="Fri",L87="Ferie",L87="Syk",L87="Omsorg",B87&lt;Start!$B$7),0,IF(IFERROR(MATCH(B87,Start!A$253:A$273,0),0)&gt;0,VLOOKUP(B87,Start!A$253:F$273,3,FALSE)/100*Start!$B$4,VLOOKUP(WEEKDAY(B87,2),Start!A$240:F$246,4,FALSE))),"")</f>
        <v/>
      </c>
      <c r="D87" t="str">
        <f>IFERROR(IF(OR(U87="Fri",U87="Ferie",U87="Syk",U87="Omsorg",B87&lt;Start!$F$7),0,IF(IFERROR(MATCH(B87,Start!A$253:A$273,0),0)&gt;0,VLOOKUP(B87,Start!A$253:F$273,3,FALSE)/100*Start!$F$4,VLOOKUP(WEEKDAY(B87,2),Start!A$240:F$246,6,FALSE))),"")</f>
        <v/>
      </c>
      <c r="E87">
        <f t="shared" ca="1" si="23"/>
        <v>0</v>
      </c>
      <c r="F87">
        <f>IFERROR(IF(YEAR(B87)=Start!$B$1,MONTH(B87),""),"")</f>
        <v>2</v>
      </c>
      <c r="G87" s="64" t="str">
        <f>IFERROR(VLOOKUP(B87,Start!A$111:B$273,2,FALSE),"")</f>
        <v/>
      </c>
      <c r="H87" s="21"/>
      <c r="I87" s="78">
        <v>0.33333333333333331</v>
      </c>
      <c r="J87" s="78">
        <v>0.33333333333333331</v>
      </c>
      <c r="K87" s="1" t="str">
        <f>IF(Start!$B$6="Ja","",IF(((J87-I87)*24)&gt;=5.5,"X",""))</f>
        <v/>
      </c>
      <c r="L87" s="1" t="str">
        <f>IF(_xlfn.IFNA(MATCH($A87,Start!$H$3:$H$11,0),0)&gt;0,"Ferie",IFERROR(IF(VLOOKUP(B87,Start!A$165:B$234,2,FALSE)&gt;0,"Fri",0),IF(AND((J87-I87)=0,Z87=""),"",MAX((IF(K87="X",(J87-I87)*24-0.5,(J87-I87)*24)),Z87))))</f>
        <v/>
      </c>
      <c r="M87" s="58"/>
      <c r="N87" s="21" t="str">
        <f t="shared" ref="N87:N93" si="79">IF(H87=0,"",H87)</f>
        <v/>
      </c>
      <c r="O87" s="21" t="str">
        <f t="shared" ref="O87:O93" si="80">IF(L87=0,"",L87)</f>
        <v/>
      </c>
      <c r="P87" s="2"/>
      <c r="Q87" s="21"/>
      <c r="R87" s="78">
        <v>0.33333333333333331</v>
      </c>
      <c r="S87" s="78">
        <v>0.33333333333333331</v>
      </c>
      <c r="T87" s="1" t="str">
        <f>IF(Start!$B$6="Ja","",IF(((S87-R87)*24)&gt;=5.5,"X",""))</f>
        <v/>
      </c>
      <c r="U87" s="1" t="str">
        <f>IF(_xlfn.IFNA(MATCH($A$15,Start!$H$3:$H$11,0),0)&gt;0,"Ferie",(IF(L87="fri","Fri",(IF(L87="syk","Syk",IF(L87="Ferie","Ferie",IF(AND((S87-R87)=0,AB87=""),"",MAX((IF(T87="X",(S87-R87)*24-0.5,(S87-R87)*24)),AB87))))))))</f>
        <v/>
      </c>
      <c r="V87" s="58"/>
      <c r="W87" s="21" t="str">
        <f t="shared" ref="W87:W93" si="81">IF(Q87=0,"",Q87)</f>
        <v/>
      </c>
      <c r="X87" s="21" t="str">
        <f t="shared" ref="X87:X93" si="82">IF(U87=0,"",U87)</f>
        <v/>
      </c>
      <c r="Z87" s="70" t="str">
        <f>IF(SUMIFS(TrackingTime!H:H,TrackingTime!F:F,Timer!B87,TrackingTime!C:C,"Hovedkontoret")&gt;0,SUMIFS(TrackingTime!H:H,TrackingTime!F:F,Timer!B87,TrackingTime!C:C,"Hovedkontoret"),"")</f>
        <v/>
      </c>
      <c r="AA87" s="71" t="str">
        <f t="shared" si="69"/>
        <v/>
      </c>
      <c r="AB87" t="str">
        <f>IF(SUMIFS(TrackingTime!H:H,TrackingTime!F:F,Timer!B87,TrackingTime!C:C,Start!$F$3)&gt;0,SUMIFS(TrackingTime!H:H,TrackingTime!F:F,Timer!B87,TrackingTime!C:C,Start!$F$3),"")</f>
        <v/>
      </c>
      <c r="AC87" s="71" t="str">
        <f t="shared" si="72"/>
        <v/>
      </c>
    </row>
    <row r="88" spans="1:29" x14ac:dyDescent="0.25">
      <c r="A88" s="15"/>
      <c r="B88" s="63">
        <f t="shared" ref="B88:B93" si="83">B87+DAY(1)</f>
        <v>46063</v>
      </c>
      <c r="C88" t="str">
        <f>IFERROR(IF(OR(L88="Fri",L88="Ferie",L88="Syk",L88="Omsorg",B88&lt;Start!$B$7),0,IF(IFERROR(MATCH(B88,Start!A$253:A$273,0),0)&gt;0,VLOOKUP(B88,Start!A$253:F$273,3,FALSE)/100*Start!$B$4,VLOOKUP(WEEKDAY(B88,2),Start!A$240:F$246,4,FALSE))),"")</f>
        <v/>
      </c>
      <c r="D88" t="str">
        <f>IFERROR(IF(OR(U88="Fri",U88="Ferie",U88="Syk",U88="Omsorg",B88&lt;Start!$F$7),0,IF(IFERROR(MATCH(B88,Start!A$253:A$273,0),0)&gt;0,VLOOKUP(B88,Start!A$253:F$273,3,FALSE)/100*Start!$F$4,VLOOKUP(WEEKDAY(B88,2),Start!A$240:F$246,6,FALSE))),"")</f>
        <v/>
      </c>
      <c r="E88">
        <f t="shared" ca="1" si="23"/>
        <v>0</v>
      </c>
      <c r="F88">
        <f>IFERROR(IF(YEAR(B88)=Start!$B$1,MONTH(B88),""),"")</f>
        <v>2</v>
      </c>
      <c r="G88" s="64" t="str">
        <f>IFERROR(VLOOKUP(B88,Start!A$111:B$273,2,FALSE),"")</f>
        <v/>
      </c>
      <c r="H88" s="21"/>
      <c r="I88" s="78">
        <v>0.33333333333333331</v>
      </c>
      <c r="J88" s="78">
        <v>0.33333333333333331</v>
      </c>
      <c r="K88" s="1" t="str">
        <f>IF(Start!$B$6="Ja","",IF(((J88-I88)*24)&gt;=5.5,"X",""))</f>
        <v/>
      </c>
      <c r="L88" s="1" t="str">
        <f>IF(_xlfn.IFNA(MATCH($A87,Start!$H$3:$H$11,0),0)&gt;0,"Ferie",IFERROR(IF(VLOOKUP($B88,Start!$A$165:$B$234,2,FALSE)&gt;0,"Fri",0),IF(AND((J88-I88)=0,Z88=""),"",MAX((IF(K88="X",(J88-I88)*24-0.5,(J88-I88)*24)),Z88))))</f>
        <v/>
      </c>
      <c r="M88" s="58"/>
      <c r="N88" s="21" t="str">
        <f t="shared" si="79"/>
        <v/>
      </c>
      <c r="O88" s="21" t="str">
        <f t="shared" si="80"/>
        <v/>
      </c>
      <c r="P88" s="2"/>
      <c r="Q88" s="21"/>
      <c r="R88" s="78">
        <v>0.33333333333333331</v>
      </c>
      <c r="S88" s="78">
        <v>0.33333333333333331</v>
      </c>
      <c r="T88" s="1" t="str">
        <f>IF(Start!$B$6="Ja","",IF(((S88-R88)*24)&gt;=5.5,"X",""))</f>
        <v/>
      </c>
      <c r="U88" s="1" t="str">
        <f>IF(_xlfn.IFNA(MATCH($A$15,Start!$H$3:$H$11,0),0)&gt;0,"Ferie",(IF(L88="fri","Fri",(IF(L88="syk","Syk",IF(L88="Ferie","Ferie",IF(AND((S88-R88)=0,AB88=""),"",MAX((IF(T88="X",(S88-R88)*24-0.5,(S88-R88)*24)),AB88))))))))</f>
        <v/>
      </c>
      <c r="V88" s="58"/>
      <c r="W88" s="21" t="str">
        <f t="shared" si="81"/>
        <v/>
      </c>
      <c r="X88" s="21" t="str">
        <f t="shared" si="82"/>
        <v/>
      </c>
      <c r="Z88" s="70" t="str">
        <f>IF(SUMIFS(TrackingTime!H:H,TrackingTime!F:F,Timer!B88,TrackingTime!C:C,"Hovedkontoret")&gt;0,SUMIFS(TrackingTime!H:H,TrackingTime!F:F,Timer!B88,TrackingTime!C:C,"Hovedkontoret"),"")</f>
        <v/>
      </c>
      <c r="AA88" s="71" t="str">
        <f t="shared" si="69"/>
        <v/>
      </c>
      <c r="AB88" t="str">
        <f>IF(SUMIFS(TrackingTime!H:H,TrackingTime!F:F,Timer!B88,TrackingTime!C:C,Start!$F$3)&gt;0,SUMIFS(TrackingTime!H:H,TrackingTime!F:F,Timer!B88,TrackingTime!C:C,Start!$F$3),"")</f>
        <v/>
      </c>
      <c r="AC88" s="71" t="str">
        <f t="shared" si="72"/>
        <v/>
      </c>
    </row>
    <row r="89" spans="1:29" x14ac:dyDescent="0.25">
      <c r="A89" s="15"/>
      <c r="B89" s="63">
        <f t="shared" si="83"/>
        <v>46064</v>
      </c>
      <c r="C89" t="str">
        <f>IFERROR(IF(OR(L89="Fri",L89="Ferie",L89="Syk",L89="Omsorg",B89&lt;Start!$B$7),0,IF(IFERROR(MATCH(B89,Start!A$253:A$273,0),0)&gt;0,VLOOKUP(B89,Start!A$253:F$273,3,FALSE)/100*Start!$B$4,VLOOKUP(WEEKDAY(B89,2),Start!A$240:F$246,4,FALSE))),"")</f>
        <v/>
      </c>
      <c r="D89" t="str">
        <f>IFERROR(IF(OR(U89="Fri",U89="Ferie",U89="Syk",U89="Omsorg",B89&lt;Start!$F$7),0,IF(IFERROR(MATCH(B89,Start!A$253:A$273,0),0)&gt;0,VLOOKUP(B89,Start!A$253:F$273,3,FALSE)/100*Start!$F$4,VLOOKUP(WEEKDAY(B89,2),Start!A$240:F$246,6,FALSE))),"")</f>
        <v/>
      </c>
      <c r="E89">
        <f t="shared" ca="1" si="23"/>
        <v>0</v>
      </c>
      <c r="F89">
        <f>IFERROR(IF(YEAR(B89)=Start!$B$1,MONTH(B89),""),"")</f>
        <v>2</v>
      </c>
      <c r="G89" s="64" t="str">
        <f>IFERROR(VLOOKUP(B89,Start!A$111:B$273,2,FALSE),"")</f>
        <v/>
      </c>
      <c r="H89" s="21"/>
      <c r="I89" s="78">
        <v>0.33333333333333331</v>
      </c>
      <c r="J89" s="78">
        <v>0.33333333333333331</v>
      </c>
      <c r="K89" s="1" t="str">
        <f>IF(Start!$B$6="Ja","",IF(((J89-I89)*24)&gt;=5.5,"X",""))</f>
        <v/>
      </c>
      <c r="L89" s="1" t="str">
        <f>IF(_xlfn.IFNA(MATCH($A87,Start!$H$3:$H$11,0),0)&gt;0,"Ferie",IFERROR(IF(VLOOKUP(B89,Start!A$165:B$234,2,FALSE)&gt;0,"Fri",0),IF(AND((J89-I89)=0,Z89=""),"",MAX((IF(K89="X",(J89-I89)*24-0.5,(J89-I89)*24)),Z89))))</f>
        <v/>
      </c>
      <c r="M89" s="58"/>
      <c r="N89" s="21" t="str">
        <f t="shared" si="79"/>
        <v/>
      </c>
      <c r="O89" s="21" t="str">
        <f t="shared" si="80"/>
        <v/>
      </c>
      <c r="P89" s="2"/>
      <c r="Q89" s="21"/>
      <c r="R89" s="78">
        <v>0.33333333333333331</v>
      </c>
      <c r="S89" s="78">
        <v>0.33333333333333331</v>
      </c>
      <c r="T89" s="1" t="str">
        <f>IF(Start!$B$6="Ja","",IF(((S89-R89)*24)&gt;=5.5,"X",""))</f>
        <v/>
      </c>
      <c r="U89" s="1" t="str">
        <f>IF(_xlfn.IFNA(MATCH($A$15,Start!$H$3:$H$11,0),0)&gt;0,"Ferie",(IF(L89="fri","Fri",(IF(L89="syk","Syk",IF(L89="Ferie","Ferie",IF(AND((S89-R89)=0,AB89=""),"",MAX((IF(T89="X",(S89-R89)*24-0.5,(S89-R89)*24)),AB89))))))))</f>
        <v/>
      </c>
      <c r="V89" s="58"/>
      <c r="W89" s="21" t="str">
        <f t="shared" si="81"/>
        <v/>
      </c>
      <c r="X89" s="21" t="str">
        <f t="shared" si="82"/>
        <v/>
      </c>
      <c r="Z89" s="70" t="str">
        <f>IF(SUMIFS(TrackingTime!H:H,TrackingTime!F:F,Timer!B89,TrackingTime!C:C,"Hovedkontoret")&gt;0,SUMIFS(TrackingTime!H:H,TrackingTime!F:F,Timer!B89,TrackingTime!C:C,"Hovedkontoret"),"")</f>
        <v/>
      </c>
      <c r="AA89" s="71" t="str">
        <f t="shared" si="69"/>
        <v/>
      </c>
      <c r="AB89" t="str">
        <f>IF(SUMIFS(TrackingTime!H:H,TrackingTime!F:F,Timer!B89,TrackingTime!C:C,Start!$F$3)&gt;0,SUMIFS(TrackingTime!H:H,TrackingTime!F:F,Timer!B89,TrackingTime!C:C,Start!$F$3),"")</f>
        <v/>
      </c>
      <c r="AC89" s="71" t="str">
        <f t="shared" si="72"/>
        <v/>
      </c>
    </row>
    <row r="90" spans="1:29" x14ac:dyDescent="0.25">
      <c r="A90" s="15"/>
      <c r="B90" s="63">
        <f t="shared" si="83"/>
        <v>46065</v>
      </c>
      <c r="C90" t="str">
        <f>IFERROR(IF(OR(L90="Fri",L90="Ferie",L90="Syk",L90="Omsorg",B90&lt;Start!$B$7),0,IF(IFERROR(MATCH(B90,Start!A$253:A$273,0),0)&gt;0,VLOOKUP(B90,Start!A$253:F$273,3,FALSE)/100*Start!$B$4,VLOOKUP(WEEKDAY(B90,2),Start!A$240:F$246,4,FALSE))),"")</f>
        <v/>
      </c>
      <c r="D90" t="str">
        <f>IFERROR(IF(OR(U90="Fri",U90="Ferie",U90="Syk",U90="Omsorg",B90&lt;Start!$F$7),0,IF(IFERROR(MATCH(B90,Start!A$253:A$273,0),0)&gt;0,VLOOKUP(B90,Start!A$253:F$273,3,FALSE)/100*Start!$F$4,VLOOKUP(WEEKDAY(B90,2),Start!A$240:F$246,6,FALSE))),"")</f>
        <v/>
      </c>
      <c r="E90">
        <f t="shared" ca="1" si="23"/>
        <v>0</v>
      </c>
      <c r="F90">
        <f>IFERROR(IF(YEAR(B90)=Start!$B$1,MONTH(B90),""),"")</f>
        <v>2</v>
      </c>
      <c r="G90" s="64" t="str">
        <f>IFERROR(VLOOKUP(B90,Start!A$111:B$273,2,FALSE),"")</f>
        <v/>
      </c>
      <c r="H90" s="21"/>
      <c r="I90" s="78">
        <v>0.33333333333333331</v>
      </c>
      <c r="J90" s="78">
        <v>0.33333333333333331</v>
      </c>
      <c r="K90" s="1" t="str">
        <f>IF(Start!$B$6="Ja","",IF(((J90-I90)*24)&gt;=5.5,"X",""))</f>
        <v/>
      </c>
      <c r="L90" s="1" t="str">
        <f>IF(_xlfn.IFNA(MATCH($A87,Start!$H$3:$H$11,0),0)&gt;0,"Ferie",IFERROR(IF(VLOOKUP(B90,Start!A$165:B$234,2,FALSE)&gt;0,"Fri",0),IF(AND((J90-I90)=0,Z90=""),"",MAX((IF(K90="X",(J90-I90)*24-0.5,(J90-I90)*24)),Z90))))</f>
        <v/>
      </c>
      <c r="M90" s="58"/>
      <c r="N90" s="21" t="str">
        <f t="shared" si="79"/>
        <v/>
      </c>
      <c r="O90" s="21" t="str">
        <f t="shared" si="80"/>
        <v/>
      </c>
      <c r="P90" s="2"/>
      <c r="Q90" s="21"/>
      <c r="R90" s="78">
        <v>0.33333333333333331</v>
      </c>
      <c r="S90" s="78">
        <v>0.33333333333333331</v>
      </c>
      <c r="T90" s="1" t="str">
        <f>IF(Start!$B$6="Ja","",IF(((S90-R90)*24)&gt;=5.5,"X",""))</f>
        <v/>
      </c>
      <c r="U90" s="1" t="str">
        <f>IF(_xlfn.IFNA(MATCH($A$15,Start!$H$3:$H$11,0),0)&gt;0,"Ferie",(IF(L90="fri","Fri",(IF(L90="syk","Syk",IF(L90="Ferie","Ferie",IF(AND((S90-R90)=0,AB90=""),"",MAX((IF(T90="X",(S90-R90)*24-0.5,(S90-R90)*24)),AB90))))))))</f>
        <v/>
      </c>
      <c r="V90" s="58"/>
      <c r="W90" s="21" t="str">
        <f t="shared" si="81"/>
        <v/>
      </c>
      <c r="X90" s="21" t="str">
        <f t="shared" si="82"/>
        <v/>
      </c>
      <c r="Z90" s="70" t="str">
        <f>IF(SUMIFS(TrackingTime!H:H,TrackingTime!F:F,Timer!B90,TrackingTime!C:C,"Hovedkontoret")&gt;0,SUMIFS(TrackingTime!H:H,TrackingTime!F:F,Timer!B90,TrackingTime!C:C,"Hovedkontoret"),"")</f>
        <v/>
      </c>
      <c r="AA90" s="71" t="str">
        <f t="shared" si="69"/>
        <v/>
      </c>
      <c r="AB90" t="str">
        <f>IF(SUMIFS(TrackingTime!H:H,TrackingTime!F:F,Timer!B90,TrackingTime!C:C,Start!$F$3)&gt;0,SUMIFS(TrackingTime!H:H,TrackingTime!F:F,Timer!B90,TrackingTime!C:C,Start!$F$3),"")</f>
        <v/>
      </c>
      <c r="AC90" s="71" t="str">
        <f t="shared" si="72"/>
        <v/>
      </c>
    </row>
    <row r="91" spans="1:29" x14ac:dyDescent="0.25">
      <c r="A91" s="15"/>
      <c r="B91" s="63">
        <f t="shared" si="83"/>
        <v>46066</v>
      </c>
      <c r="C91" t="str">
        <f>IFERROR(IF(OR(L91="Fri",L91="Ferie",L91="Syk",L91="Omsorg",B91&lt;Start!$B$7),0,IF(IFERROR(MATCH(B91,Start!A$253:A$273,0),0)&gt;0,VLOOKUP(B91,Start!A$253:F$273,3,FALSE)/100*Start!$B$4,VLOOKUP(WEEKDAY(B91,2),Start!A$240:F$246,4,FALSE))),"")</f>
        <v/>
      </c>
      <c r="D91" t="str">
        <f>IFERROR(IF(OR(U91="Fri",U91="Ferie",U91="Syk",U91="Omsorg",B91&lt;Start!$F$7),0,IF(IFERROR(MATCH(B91,Start!A$253:A$273,0),0)&gt;0,VLOOKUP(B91,Start!A$253:F$273,3,FALSE)/100*Start!$F$4,VLOOKUP(WEEKDAY(B91,2),Start!A$240:F$246,6,FALSE))),"")</f>
        <v/>
      </c>
      <c r="E91">
        <f t="shared" ca="1" si="23"/>
        <v>0</v>
      </c>
      <c r="F91">
        <f>IFERROR(IF(YEAR(B91)=Start!$B$1,MONTH(B91),""),"")</f>
        <v>2</v>
      </c>
      <c r="G91" s="64" t="str">
        <f>IFERROR(VLOOKUP(B91,Start!A$111:B$273,2,FALSE),"")</f>
        <v/>
      </c>
      <c r="H91" s="21"/>
      <c r="I91" s="78">
        <v>0.33333333333333331</v>
      </c>
      <c r="J91" s="78">
        <v>0.33333333333333331</v>
      </c>
      <c r="K91" s="1" t="str">
        <f>IF(Start!$B$6="Ja","",IF(((J91-I91)*24)&gt;=5.5,"X",""))</f>
        <v/>
      </c>
      <c r="L91" s="1" t="str">
        <f>IF(_xlfn.IFNA(MATCH($A87,Start!$H$3:$H$11,0),0)&gt;0,"Ferie",IFERROR(IF(VLOOKUP(B91,Start!A$165:B$234,2,FALSE)&gt;0,"Fri",0),IF(AND((J91-I91)=0,Z91=""),"",MAX((IF(K91="X",(J91-I91)*24-0.5,(J91-I91)*24)),Z91))))</f>
        <v/>
      </c>
      <c r="M91" s="58"/>
      <c r="N91" s="21" t="str">
        <f t="shared" si="79"/>
        <v/>
      </c>
      <c r="O91" s="21" t="str">
        <f t="shared" si="80"/>
        <v/>
      </c>
      <c r="P91" s="2"/>
      <c r="Q91" s="21"/>
      <c r="R91" s="78">
        <v>0.33333333333333331</v>
      </c>
      <c r="S91" s="78">
        <v>0.33333333333333331</v>
      </c>
      <c r="T91" s="1" t="str">
        <f>IF(Start!$B$6="Ja","",IF(((S91-R91)*24)&gt;=5.5,"X",""))</f>
        <v/>
      </c>
      <c r="U91" s="1" t="str">
        <f>IF(_xlfn.IFNA(MATCH($A$15,Start!$H$3:$H$11,0),0)&gt;0,"Ferie",(IF(L91="fri","Fri",(IF(L91="syk","Syk",IF(L91="Ferie","Ferie",IF(AND((S91-R91)=0,AB91=""),"",MAX((IF(T91="X",(S91-R91)*24-0.5,(S91-R91)*24)),AB91))))))))</f>
        <v/>
      </c>
      <c r="V91" s="58"/>
      <c r="W91" s="21" t="str">
        <f t="shared" si="81"/>
        <v/>
      </c>
      <c r="X91" s="21" t="str">
        <f t="shared" si="82"/>
        <v/>
      </c>
      <c r="Z91" s="70" t="str">
        <f>IF(SUMIFS(TrackingTime!H:H,TrackingTime!F:F,Timer!B91,TrackingTime!C:C,"Hovedkontoret")&gt;0,SUMIFS(TrackingTime!H:H,TrackingTime!F:F,Timer!B91,TrackingTime!C:C,"Hovedkontoret"),"")</f>
        <v/>
      </c>
      <c r="AA91" s="71" t="str">
        <f t="shared" si="69"/>
        <v/>
      </c>
      <c r="AB91" t="str">
        <f>IF(SUMIFS(TrackingTime!H:H,TrackingTime!F:F,Timer!B91,TrackingTime!C:C,Start!$F$3)&gt;0,SUMIFS(TrackingTime!H:H,TrackingTime!F:F,Timer!B91,TrackingTime!C:C,Start!$F$3),"")</f>
        <v/>
      </c>
      <c r="AC91" s="71" t="str">
        <f t="shared" si="72"/>
        <v/>
      </c>
    </row>
    <row r="92" spans="1:29" x14ac:dyDescent="0.25">
      <c r="A92" s="15"/>
      <c r="B92" s="63">
        <f t="shared" si="83"/>
        <v>46067</v>
      </c>
      <c r="C92">
        <f>IFERROR(IF(OR(L92="Fri",L92="Ferie",L92="Syk",L92="Omsorg",B92&lt;Start!$B$7),0,IF(IFERROR(MATCH(B92,Start!A$253:A$273,0),0)&gt;0,VLOOKUP(B92,Start!A$253:F$273,3,FALSE)/100*Start!$B$4,VLOOKUP(WEEKDAY(B92,2),Start!A$240:F$246,4,FALSE))),"")</f>
        <v>0</v>
      </c>
      <c r="D92">
        <f>IFERROR(IF(OR(U92="Fri",U92="Ferie",U92="Syk",U92="Omsorg",B92&lt;Start!$F$7),0,IF(IFERROR(MATCH(B92,Start!A$253:A$273,0),0)&gt;0,VLOOKUP(B92,Start!A$253:F$273,3,FALSE)/100*Start!$F$4,VLOOKUP(WEEKDAY(B92,2),Start!A$240:F$246,6,FALSE))),"")</f>
        <v>0</v>
      </c>
      <c r="E92">
        <f t="shared" ca="1" si="23"/>
        <v>0</v>
      </c>
      <c r="F92">
        <f>IFERROR(IF(YEAR(B92)=Start!$B$1,MONTH(B92),""),"")</f>
        <v>2</v>
      </c>
      <c r="G92" s="64" t="str">
        <f>IFERROR(VLOOKUP(B92,Start!A$111:B$273,2,FALSE),"")</f>
        <v/>
      </c>
      <c r="H92" s="21"/>
      <c r="I92" s="78">
        <v>0.41666666666666669</v>
      </c>
      <c r="J92" s="78">
        <v>0.41666666666666669</v>
      </c>
      <c r="K92" s="1" t="str">
        <f>IF(Start!$B$6="Ja","",IF(((J92-I92)*24)&gt;=5.5,"X",""))</f>
        <v/>
      </c>
      <c r="L92" s="1" t="str">
        <f t="shared" ref="L92:L93" si="84">IF(AND((J92-I92)=0,Z92=""),"",MAX((IF(K92="X",(J92-I92)*24-0.5,(J92-I92)*24)),Z92))</f>
        <v/>
      </c>
      <c r="M92" s="58"/>
      <c r="N92" s="21" t="str">
        <f t="shared" si="79"/>
        <v/>
      </c>
      <c r="O92" s="21" t="str">
        <f t="shared" si="80"/>
        <v/>
      </c>
      <c r="P92" s="2"/>
      <c r="Q92" s="21"/>
      <c r="R92" s="78">
        <v>0.41666666666666669</v>
      </c>
      <c r="S92" s="78">
        <v>0.41666666666666669</v>
      </c>
      <c r="T92" s="1" t="str">
        <f>IF(Start!$B$6="Ja","",IF(((S92-R92)*24)&gt;=5.5,"X",""))</f>
        <v/>
      </c>
      <c r="U92" s="1" t="str">
        <f t="shared" ref="U92:U93" si="85">IF(AND((S92-R92)=0,AB92=""),"",MAX((IF(T92="X",(S92-R92)*24-0.5,(S92-R92)*24)),AB92))</f>
        <v/>
      </c>
      <c r="V92" s="58"/>
      <c r="W92" s="21" t="str">
        <f t="shared" si="81"/>
        <v/>
      </c>
      <c r="X92" s="21" t="str">
        <f t="shared" si="82"/>
        <v/>
      </c>
      <c r="Z92" s="70" t="str">
        <f>IF(SUMIFS(TrackingTime!H:H,TrackingTime!F:F,Timer!B92,TrackingTime!C:C,"Hovedkontoret")&gt;0,SUMIFS(TrackingTime!H:H,TrackingTime!F:F,Timer!B92,TrackingTime!C:C,"Hovedkontoret"),"")</f>
        <v/>
      </c>
      <c r="AA92" s="71" t="str">
        <f t="shared" si="69"/>
        <v/>
      </c>
      <c r="AB92" t="str">
        <f>IF(SUMIFS(TrackingTime!H:H,TrackingTime!F:F,Timer!B92,TrackingTime!C:C,Start!$F$3)&gt;0,SUMIFS(TrackingTime!H:H,TrackingTime!F:F,Timer!B92,TrackingTime!C:C,Start!$F$3),"")</f>
        <v/>
      </c>
      <c r="AC92" s="71" t="str">
        <f t="shared" si="72"/>
        <v/>
      </c>
    </row>
    <row r="93" spans="1:29" x14ac:dyDescent="0.25">
      <c r="A93" s="15"/>
      <c r="B93" s="63">
        <f t="shared" si="83"/>
        <v>46068</v>
      </c>
      <c r="C93">
        <f>IFERROR(IF(OR(L93="Fri",L93="Ferie",L93="Syk",L93="Omsorg",B93&lt;Start!$B$7),0,IF(IFERROR(MATCH(B93,Start!A$253:A$273,0),0)&gt;0,VLOOKUP(B93,Start!A$253:F$273,3,FALSE)/100*Start!$B$4,VLOOKUP(WEEKDAY(B93,2),Start!A$240:F$246,4,FALSE))),"")</f>
        <v>0</v>
      </c>
      <c r="D93">
        <f>IFERROR(IF(OR(U93="Fri",U93="Ferie",U93="Syk",U93="Omsorg",B93&lt;Start!$F$7),0,IF(IFERROR(MATCH(B93,Start!A$253:A$273,0),0)&gt;0,VLOOKUP(B93,Start!A$253:F$273,3,FALSE)/100*Start!$F$4,VLOOKUP(WEEKDAY(B93,2),Start!A$240:F$246,6,FALSE))),"")</f>
        <v>0</v>
      </c>
      <c r="E93">
        <f t="shared" ca="1" si="23"/>
        <v>0</v>
      </c>
      <c r="F93">
        <f>IFERROR(IF(YEAR(B93)=Start!$B$1,MONTH(B93),""),"")</f>
        <v>2</v>
      </c>
      <c r="G93" s="64" t="str">
        <f>IFERROR(VLOOKUP(B93,Start!A$111:B$273,2,FALSE),"")</f>
        <v/>
      </c>
      <c r="H93" s="25"/>
      <c r="I93" s="78">
        <v>0.41666666666666669</v>
      </c>
      <c r="J93" s="78">
        <v>0.41666666666666669</v>
      </c>
      <c r="K93" s="1" t="str">
        <f>IF(Start!$B$6="Ja","",IF(((J93-I93)*24)&gt;=5.5,"X",""))</f>
        <v/>
      </c>
      <c r="L93" s="1" t="str">
        <f t="shared" si="84"/>
        <v/>
      </c>
      <c r="M93" s="58"/>
      <c r="N93" s="21" t="str">
        <f t="shared" si="79"/>
        <v/>
      </c>
      <c r="O93" s="21" t="str">
        <f t="shared" si="80"/>
        <v/>
      </c>
      <c r="Q93" s="25"/>
      <c r="R93" s="78">
        <v>0.41666666666666669</v>
      </c>
      <c r="S93" s="78">
        <v>0.41666666666666669</v>
      </c>
      <c r="T93" s="1" t="str">
        <f>IF(Start!$B$6="Ja","",IF(((S93-R93)*24)&gt;=5.5,"X",""))</f>
        <v/>
      </c>
      <c r="U93" s="1" t="str">
        <f t="shared" si="85"/>
        <v/>
      </c>
      <c r="V93" s="58"/>
      <c r="W93" s="21" t="str">
        <f t="shared" si="81"/>
        <v/>
      </c>
      <c r="X93" s="21" t="str">
        <f t="shared" si="82"/>
        <v/>
      </c>
      <c r="Z93" s="70" t="str">
        <f>IF(SUMIFS(TrackingTime!H:H,TrackingTime!F:F,Timer!B93,TrackingTime!C:C,"Hovedkontoret")&gt;0,SUMIFS(TrackingTime!H:H,TrackingTime!F:F,Timer!B93,TrackingTime!C:C,"Hovedkontoret"),"")</f>
        <v/>
      </c>
      <c r="AA93" s="71" t="str">
        <f t="shared" si="69"/>
        <v/>
      </c>
      <c r="AB93" t="str">
        <f>IF(SUMIFS(TrackingTime!H:H,TrackingTime!F:F,Timer!B93,TrackingTime!C:C,Start!$F$3)&gt;0,SUMIFS(TrackingTime!H:H,TrackingTime!F:F,Timer!B93,TrackingTime!C:C,Start!$F$3),"")</f>
        <v/>
      </c>
      <c r="AC93" s="71" t="str">
        <f t="shared" si="72"/>
        <v/>
      </c>
    </row>
    <row r="94" spans="1:29" x14ac:dyDescent="0.25">
      <c r="A94" s="15"/>
      <c r="B94" s="4" t="s">
        <v>11</v>
      </c>
      <c r="C94" s="24"/>
      <c r="D94" s="24"/>
      <c r="E94" s="24">
        <f t="shared" ca="1" si="23"/>
        <v>0</v>
      </c>
      <c r="F94" s="24" t="str">
        <f>IFERROR(IF(YEAR(B94)=Start!$B$1,MONTH(B94),""),"")</f>
        <v/>
      </c>
      <c r="G94" s="64" t="str">
        <f>IFERROR(VLOOKUP(B94,Start!A$111:B$273,2,FALSE),"")</f>
        <v/>
      </c>
      <c r="H94" s="4"/>
      <c r="I94" s="4"/>
      <c r="J94" s="4"/>
      <c r="K94" s="4"/>
      <c r="L94" s="5">
        <f t="shared" ref="L94:L142" si="86">SUM($L87:$L93)</f>
        <v>0</v>
      </c>
      <c r="N94" s="24"/>
      <c r="O94" s="39">
        <f t="shared" ref="O94" si="87">SUM(O87:O93)</f>
        <v>0</v>
      </c>
      <c r="P94" s="40"/>
      <c r="Q94" s="41"/>
      <c r="R94" s="4"/>
      <c r="S94" s="4"/>
      <c r="T94" s="4"/>
      <c r="U94" s="5">
        <f t="shared" ref="U94" si="88">SUM($U87:$U93)</f>
        <v>0</v>
      </c>
      <c r="V94" s="58"/>
      <c r="W94" s="39"/>
      <c r="X94" s="39">
        <f t="shared" si="33"/>
        <v>0</v>
      </c>
      <c r="Z94" s="70" t="str">
        <f>IF(SUMIFS(TrackingTime!H:H,TrackingTime!F:F,Timer!B94,TrackingTime!C:C,"Hovedkontoret")&gt;0,SUMIFS(TrackingTime!H:H,TrackingTime!F:F,Timer!B94,TrackingTime!C:C,"Hovedkontoret"),"")</f>
        <v/>
      </c>
      <c r="AA94" s="71" t="str">
        <f t="shared" si="69"/>
        <v/>
      </c>
      <c r="AB94" t="str">
        <f>IF(SUMIFS(TrackingTime!H:H,TrackingTime!F:F,Timer!B94,TrackingTime!C:C,Start!$F$3)&gt;0,SUMIFS(TrackingTime!H:H,TrackingTime!F:F,Timer!B94,TrackingTime!C:C,Start!$F$3),"")</f>
        <v/>
      </c>
      <c r="AC94" s="71" t="str">
        <f t="shared" si="72"/>
        <v/>
      </c>
    </row>
    <row r="95" spans="1:29" x14ac:dyDescent="0.25">
      <c r="A95" s="15"/>
      <c r="B95" t="s">
        <v>90</v>
      </c>
      <c r="E95">
        <f t="shared" ca="1" si="23"/>
        <v>0</v>
      </c>
      <c r="F95" t="str">
        <f>IFERROR(IF(YEAR(B95)=Start!$B$1,MONTH(B95),""),"")</f>
        <v/>
      </c>
      <c r="G95" s="64" t="str">
        <f>IFERROR(VLOOKUP(B95,Start!A$111:B$273,2,FALSE),"")</f>
        <v/>
      </c>
      <c r="L95" s="1">
        <f t="shared" ref="L95:L143" si="89">SUMIFS(C87:C93,F87:F93,"&gt;0")</f>
        <v>0</v>
      </c>
      <c r="M95" s="1"/>
      <c r="N95" s="1"/>
      <c r="O95" s="21">
        <f t="shared" ref="O95" si="90">L95</f>
        <v>0</v>
      </c>
      <c r="P95" s="40"/>
      <c r="Q95" s="21"/>
      <c r="U95" s="1">
        <f t="shared" ref="U95" si="91">SUMIFS(D87:D93,F87:F93,"&gt;0")</f>
        <v>0</v>
      </c>
      <c r="V95" s="1"/>
      <c r="W95" s="1"/>
      <c r="X95" s="21">
        <f>U95</f>
        <v>0</v>
      </c>
      <c r="Z95" s="70" t="str">
        <f>IF(SUMIFS(TrackingTime!H:H,TrackingTime!F:F,Timer!B95,TrackingTime!C:C,"Hovedkontoret")&gt;0,SUMIFS(TrackingTime!H:H,TrackingTime!F:F,Timer!B95,TrackingTime!C:C,"Hovedkontoret"),"")</f>
        <v/>
      </c>
      <c r="AA95" s="71" t="str">
        <f t="shared" si="69"/>
        <v/>
      </c>
      <c r="AB95" t="str">
        <f>IF(SUMIFS(TrackingTime!H:H,TrackingTime!F:F,Timer!B95,TrackingTime!C:C,Start!$F$3)&gt;0,SUMIFS(TrackingTime!H:H,TrackingTime!F:F,Timer!B95,TrackingTime!C:C,Start!$F$3),"")</f>
        <v/>
      </c>
      <c r="AC95" s="71" t="str">
        <f t="shared" si="72"/>
        <v/>
      </c>
    </row>
    <row r="96" spans="1:29" x14ac:dyDescent="0.25">
      <c r="A96" s="16">
        <f>B93-B87-1</f>
        <v>5</v>
      </c>
      <c r="B96" t="s">
        <v>117</v>
      </c>
      <c r="E96">
        <f t="shared" ca="1" si="23"/>
        <v>0</v>
      </c>
      <c r="F96" t="str">
        <f>IFERROR(IF(YEAR(B96)=Start!$B$1,MONTH(B96),""),"")</f>
        <v/>
      </c>
      <c r="G96" s="64" t="str">
        <f>IFERROR(VLOOKUP(B96,Start!A$111:B$273,2,FALSE),"")</f>
        <v/>
      </c>
      <c r="L96" s="77">
        <f t="shared" ref="L96:L144" ca="1" si="92">L94-L95*(IF(NETWORKDAYS($B87,TODAY())&lt;0,0,IF(NETWORKDAYS($B87,TODAY())&lt;=$A96,NETWORKDAYS($B87,TODAY()),$A96)))/$A96</f>
        <v>0</v>
      </c>
      <c r="O96" s="21">
        <f t="shared" ref="O96" si="93">O94-O95</f>
        <v>0</v>
      </c>
      <c r="P96" s="21"/>
      <c r="Q96" s="21"/>
      <c r="U96" s="1">
        <f t="shared" ref="U96" ca="1" si="94">U94-U95*(IF(NETWORKDAYS($B87,TODAY())&lt;0,0,IF(NETWORKDAYS($B87,TODAY())&lt;=$A96,NETWORKDAYS($B87,TODAY()),$A96)))/$A96</f>
        <v>0</v>
      </c>
      <c r="V96" s="58"/>
      <c r="W96" s="21"/>
      <c r="X96" s="21">
        <f>X94-X95</f>
        <v>0</v>
      </c>
      <c r="Z96" s="70" t="str">
        <f>IF(SUMIFS(TrackingTime!H:H,TrackingTime!F:F,Timer!B96,TrackingTime!C:C,"Hovedkontoret")&gt;0,SUMIFS(TrackingTime!H:H,TrackingTime!F:F,Timer!B96,TrackingTime!C:C,"Hovedkontoret"),"")</f>
        <v/>
      </c>
      <c r="AA96" s="71" t="str">
        <f t="shared" si="69"/>
        <v/>
      </c>
      <c r="AB96" t="str">
        <f>IF(SUMIFS(TrackingTime!H:H,TrackingTime!F:F,Timer!B96,TrackingTime!C:C,Start!$F$3)&gt;0,SUMIFS(TrackingTime!H:H,TrackingTime!F:F,Timer!B96,TrackingTime!C:C,Start!$F$3),"")</f>
        <v/>
      </c>
      <c r="AC96" s="71" t="str">
        <f t="shared" si="72"/>
        <v/>
      </c>
    </row>
    <row r="97" spans="1:29" x14ac:dyDescent="0.25">
      <c r="A97" s="15"/>
      <c r="E97">
        <f t="shared" ca="1" si="23"/>
        <v>1</v>
      </c>
      <c r="F97" t="str">
        <f>IFERROR(IF(YEAR(B97)=Start!$B$1,MONTH(B97),""),"")</f>
        <v/>
      </c>
      <c r="G97" s="64" t="str">
        <f>IFERROR(VLOOKUP(B97,Start!A$111:B$273,2,FALSE),"")</f>
        <v/>
      </c>
      <c r="O97" s="2"/>
      <c r="P97" s="2"/>
      <c r="U97" s="1"/>
      <c r="V97" s="7"/>
      <c r="X97" s="2"/>
      <c r="Z97" s="70" t="str">
        <f>IF(SUMIFS(TrackingTime!H:H,TrackingTime!F:F,Timer!B97,TrackingTime!C:C,"Hovedkontoret")&gt;0,SUMIFS(TrackingTime!H:H,TrackingTime!F:F,Timer!B97,TrackingTime!C:C,"Hovedkontoret"),"")</f>
        <v/>
      </c>
      <c r="AA97" s="71" t="str">
        <f t="shared" si="69"/>
        <v/>
      </c>
      <c r="AB97" t="str">
        <f>IF(SUMIFS(TrackingTime!H:H,TrackingTime!F:F,Timer!B97,TrackingTime!C:C,Start!$F$3)&gt;0,SUMIFS(TrackingTime!H:H,TrackingTime!F:F,Timer!B97,TrackingTime!C:C,Start!$F$3),"")</f>
        <v/>
      </c>
      <c r="AC97" s="71" t="str">
        <f t="shared" si="72"/>
        <v/>
      </c>
    </row>
    <row r="98" spans="1:29" x14ac:dyDescent="0.25">
      <c r="A98" s="2" t="s">
        <v>82</v>
      </c>
      <c r="B98" s="14" t="s">
        <v>83</v>
      </c>
      <c r="E98">
        <f t="shared" ca="1" si="23"/>
        <v>0</v>
      </c>
      <c r="F98" t="str">
        <f>IFERROR(IF(YEAR(B98)=Start!$B$1,MONTH(B98),""),"")</f>
        <v/>
      </c>
      <c r="G98" s="64" t="str">
        <f>IFERROR(VLOOKUP(B98,Start!A$111:B$273,2,FALSE),"")</f>
        <v/>
      </c>
      <c r="H98" s="2" t="s">
        <v>86</v>
      </c>
      <c r="I98" s="2" t="s">
        <v>125</v>
      </c>
      <c r="J98" s="2" t="s">
        <v>126</v>
      </c>
      <c r="K98" s="2" t="s">
        <v>127</v>
      </c>
      <c r="L98" s="3" t="s">
        <v>87</v>
      </c>
      <c r="M98" s="6"/>
      <c r="N98" s="2" t="s">
        <v>88</v>
      </c>
      <c r="O98" s="2" t="s">
        <v>89</v>
      </c>
      <c r="P98" s="2"/>
      <c r="Q98" s="2" t="s">
        <v>86</v>
      </c>
      <c r="R98" s="2" t="s">
        <v>125</v>
      </c>
      <c r="S98" s="2" t="s">
        <v>126</v>
      </c>
      <c r="T98" s="2" t="s">
        <v>127</v>
      </c>
      <c r="U98" s="3" t="s">
        <v>87</v>
      </c>
      <c r="V98" s="6"/>
      <c r="W98" s="2" t="s">
        <v>88</v>
      </c>
      <c r="X98" s="2" t="s">
        <v>89</v>
      </c>
      <c r="Z98" s="70" t="str">
        <f>IF(SUMIFS(TrackingTime!H:H,TrackingTime!F:F,Timer!B98,TrackingTime!C:C,"Hovedkontoret")&gt;0,SUMIFS(TrackingTime!H:H,TrackingTime!F:F,Timer!B98,TrackingTime!C:C,"Hovedkontoret"),"")</f>
        <v/>
      </c>
      <c r="AA98" s="71" t="str">
        <f t="shared" si="69"/>
        <v/>
      </c>
      <c r="AB98" t="str">
        <f>IF(SUMIFS(TrackingTime!H:H,TrackingTime!F:F,Timer!B98,TrackingTime!C:C,Start!$F$3)&gt;0,SUMIFS(TrackingTime!H:H,TrackingTime!F:F,Timer!B98,TrackingTime!C:C,Start!$F$3),"")</f>
        <v/>
      </c>
      <c r="AC98" s="71" t="str">
        <f t="shared" si="72"/>
        <v/>
      </c>
    </row>
    <row r="99" spans="1:29" x14ac:dyDescent="0.25">
      <c r="A99" s="15">
        <f>WEEKNUM(B99,21)</f>
        <v>8</v>
      </c>
      <c r="B99" s="63">
        <f>B93+(DAY(1))</f>
        <v>46069</v>
      </c>
      <c r="C99" t="str">
        <f>IFERROR(IF(OR(L99="Fri",L99="Ferie",L99="Syk",L99="Omsorg",B99&lt;Start!$B$7),0,IF(IFERROR(MATCH(B99,Start!A$253:A$273,0),0)&gt;0,VLOOKUP(B99,Start!A$253:F$273,3,FALSE)/100*Start!$B$4,VLOOKUP(WEEKDAY(B99,2),Start!A$240:F$246,4,FALSE))),"")</f>
        <v/>
      </c>
      <c r="D99" t="str">
        <f>IFERROR(IF(OR(U99="Fri",U99="Ferie",U99="Syk",U99="Omsorg",B99&lt;Start!$F$7),0,IF(IFERROR(MATCH(B99,Start!A$253:A$273,0),0)&gt;0,VLOOKUP(B99,Start!A$253:F$273,3,FALSE)/100*Start!$F$4,VLOOKUP(WEEKDAY(B99,2),Start!A$240:F$246,6,FALSE))),"")</f>
        <v/>
      </c>
      <c r="E99">
        <f t="shared" ca="1" si="23"/>
        <v>0</v>
      </c>
      <c r="F99">
        <f>IFERROR(IF(YEAR(B99)=Start!$B$1,MONTH(B99),""),"")</f>
        <v>2</v>
      </c>
      <c r="G99" s="64" t="str">
        <f>IFERROR(VLOOKUP(B99,Start!A$111:B$273,2,FALSE),"")</f>
        <v/>
      </c>
      <c r="H99" s="21"/>
      <c r="I99" s="78">
        <v>0.33333333333333331</v>
      </c>
      <c r="J99" s="78">
        <v>0.33333333333333331</v>
      </c>
      <c r="K99" s="1" t="str">
        <f>IF(Start!$B$6="Ja","",IF(((J99-I99)*24)&gt;=5.5,"X",""))</f>
        <v/>
      </c>
      <c r="L99" s="1" t="str">
        <f>IF(_xlfn.IFNA(MATCH($A99,Start!$H$3:$H$11,0),0)&gt;0,"Ferie",IFERROR(IF(VLOOKUP(B99,Start!A$165:B$234,2,FALSE)&gt;0,"Fri",0),IF(AND((J99-I99)=0,Z99=""),"",MAX((IF(K99="X",(J99-I99)*24-0.5,(J99-I99)*24)),Z99))))</f>
        <v/>
      </c>
      <c r="M99" s="58"/>
      <c r="N99" s="21" t="str">
        <f t="shared" ref="N99:N105" si="95">IF(H99=0,"",H99)</f>
        <v/>
      </c>
      <c r="O99" s="21" t="str">
        <f t="shared" ref="O99:O105" si="96">IF(L99=0,"",L99)</f>
        <v/>
      </c>
      <c r="P99" s="2"/>
      <c r="Q99" s="21"/>
      <c r="R99" s="78">
        <v>0.33333333333333331</v>
      </c>
      <c r="S99" s="78">
        <v>0.33333333333333331</v>
      </c>
      <c r="T99" s="1" t="str">
        <f>IF(Start!$B$6="Ja","",IF(((S99-R99)*24)&gt;=5.5,"X",""))</f>
        <v/>
      </c>
      <c r="U99" s="1" t="str">
        <f>IF(_xlfn.IFNA(MATCH($A$15,Start!$H$3:$H$11,0),0)&gt;0,"Ferie",(IF(L99="fri","Fri",(IF(L99="syk","Syk",IF(L99="Ferie","Ferie",IF(AND((S99-R99)=0,AB99=""),"",MAX((IF(T99="X",(S99-R99)*24-0.5,(S99-R99)*24)),AB99))))))))</f>
        <v/>
      </c>
      <c r="V99" s="58"/>
      <c r="W99" s="21" t="str">
        <f t="shared" ref="W99:W105" si="97">IF(Q99=0,"",Q99)</f>
        <v/>
      </c>
      <c r="X99" s="21" t="str">
        <f t="shared" ref="X99:X105" si="98">IF(U99=0,"",U99)</f>
        <v/>
      </c>
      <c r="Z99" s="70" t="str">
        <f>IF(SUMIFS(TrackingTime!H:H,TrackingTime!F:F,Timer!B99,TrackingTime!C:C,"Hovedkontoret")&gt;0,SUMIFS(TrackingTime!H:H,TrackingTime!F:F,Timer!B99,TrackingTime!C:C,"Hovedkontoret"),"")</f>
        <v/>
      </c>
      <c r="AA99" s="71" t="str">
        <f t="shared" si="69"/>
        <v/>
      </c>
      <c r="AB99" t="str">
        <f>IF(SUMIFS(TrackingTime!H:H,TrackingTime!F:F,Timer!B99,TrackingTime!C:C,Start!$F$3)&gt;0,SUMIFS(TrackingTime!H:H,TrackingTime!F:F,Timer!B99,TrackingTime!C:C,Start!$F$3),"")</f>
        <v/>
      </c>
      <c r="AC99" s="71" t="str">
        <f t="shared" si="72"/>
        <v/>
      </c>
    </row>
    <row r="100" spans="1:29" x14ac:dyDescent="0.25">
      <c r="A100" s="15"/>
      <c r="B100" s="63">
        <f t="shared" ref="B100:B105" si="99">B99+DAY(1)</f>
        <v>46070</v>
      </c>
      <c r="C100" t="str">
        <f>IFERROR(IF(OR(L100="Fri",L100="Ferie",L100="Syk",L100="Omsorg",B100&lt;Start!$B$7),0,IF(IFERROR(MATCH(B100,Start!A$253:A$273,0),0)&gt;0,VLOOKUP(B100,Start!A$253:F$273,3,FALSE)/100*Start!$B$4,VLOOKUP(WEEKDAY(B100,2),Start!A$240:F$246,4,FALSE))),"")</f>
        <v/>
      </c>
      <c r="D100" t="str">
        <f>IFERROR(IF(OR(U100="Fri",U100="Ferie",U100="Syk",U100="Omsorg",B100&lt;Start!$F$7),0,IF(IFERROR(MATCH(B100,Start!A$253:A$273,0),0)&gt;0,VLOOKUP(B100,Start!A$253:F$273,3,FALSE)/100*Start!$F$4,VLOOKUP(WEEKDAY(B100,2),Start!A$240:F$246,6,FALSE))),"")</f>
        <v/>
      </c>
      <c r="E100">
        <f t="shared" ca="1" si="23"/>
        <v>0</v>
      </c>
      <c r="F100">
        <f>IFERROR(IF(YEAR(B100)=Start!$B$1,MONTH(B100),""),"")</f>
        <v>2</v>
      </c>
      <c r="G100" s="64" t="str">
        <f>IFERROR(VLOOKUP(B100,Start!A$111:B$273,2,FALSE),"")</f>
        <v/>
      </c>
      <c r="H100" s="21"/>
      <c r="I100" s="78">
        <v>0.33333333333333331</v>
      </c>
      <c r="J100" s="78">
        <v>0.33333333333333331</v>
      </c>
      <c r="K100" s="1" t="str">
        <f>IF(Start!$B$6="Ja","",IF(((J100-I100)*24)&gt;=5.5,"X",""))</f>
        <v/>
      </c>
      <c r="L100" s="1" t="str">
        <f>IF(_xlfn.IFNA(MATCH($A99,Start!$H$3:$H$11,0),0)&gt;0,"Ferie",IFERROR(IF(VLOOKUP($B100,Start!$A$165:$B$234,2,FALSE)&gt;0,"Fri",0),IF(AND((J100-I100)=0,Z100=""),"",MAX((IF(K100="X",(J100-I100)*24-0.5,(J100-I100)*24)),Z100))))</f>
        <v/>
      </c>
      <c r="M100" s="58"/>
      <c r="N100" s="21" t="str">
        <f t="shared" si="95"/>
        <v/>
      </c>
      <c r="O100" s="21" t="str">
        <f t="shared" si="96"/>
        <v/>
      </c>
      <c r="P100" s="2"/>
      <c r="Q100" s="21"/>
      <c r="R100" s="78">
        <v>0.33333333333333331</v>
      </c>
      <c r="S100" s="78">
        <v>0.33333333333333331</v>
      </c>
      <c r="T100" s="1" t="str">
        <f>IF(Start!$B$6="Ja","",IF(((S100-R100)*24)&gt;=5.5,"X",""))</f>
        <v/>
      </c>
      <c r="U100" s="1" t="str">
        <f>IF(_xlfn.IFNA(MATCH($A$15,Start!$H$3:$H$11,0),0)&gt;0,"Ferie",(IF(L100="fri","Fri",(IF(L100="syk","Syk",IF(L100="Ferie","Ferie",IF(AND((S100-R100)=0,AB100=""),"",MAX((IF(T100="X",(S100-R100)*24-0.5,(S100-R100)*24)),AB100))))))))</f>
        <v/>
      </c>
      <c r="V100" s="58"/>
      <c r="W100" s="21" t="str">
        <f t="shared" si="97"/>
        <v/>
      </c>
      <c r="X100" s="21" t="str">
        <f t="shared" si="98"/>
        <v/>
      </c>
      <c r="Z100" s="70" t="str">
        <f>IF(SUMIFS(TrackingTime!H:H,TrackingTime!F:F,Timer!B100,TrackingTime!C:C,"Hovedkontoret")&gt;0,SUMIFS(TrackingTime!H:H,TrackingTime!F:F,Timer!B100,TrackingTime!C:C,"Hovedkontoret"),"")</f>
        <v/>
      </c>
      <c r="AA100" s="71" t="str">
        <f t="shared" si="69"/>
        <v/>
      </c>
      <c r="AB100" t="str">
        <f>IF(SUMIFS(TrackingTime!H:H,TrackingTime!F:F,Timer!B100,TrackingTime!C:C,Start!$F$3)&gt;0,SUMIFS(TrackingTime!H:H,TrackingTime!F:F,Timer!B100,TrackingTime!C:C,Start!$F$3),"")</f>
        <v/>
      </c>
      <c r="AC100" s="71" t="str">
        <f t="shared" si="72"/>
        <v/>
      </c>
    </row>
    <row r="101" spans="1:29" x14ac:dyDescent="0.25">
      <c r="A101" s="15"/>
      <c r="B101" s="63">
        <f t="shared" si="99"/>
        <v>46071</v>
      </c>
      <c r="C101" t="str">
        <f>IFERROR(IF(OR(L101="Fri",L101="Ferie",L101="Syk",L101="Omsorg",B101&lt;Start!$B$7),0,IF(IFERROR(MATCH(B101,Start!A$253:A$273,0),0)&gt;0,VLOOKUP(B101,Start!A$253:F$273,3,FALSE)/100*Start!$B$4,VLOOKUP(WEEKDAY(B101,2),Start!A$240:F$246,4,FALSE))),"")</f>
        <v/>
      </c>
      <c r="D101" t="str">
        <f>IFERROR(IF(OR(U101="Fri",U101="Ferie",U101="Syk",U101="Omsorg",B101&lt;Start!$F$7),0,IF(IFERROR(MATCH(B101,Start!A$253:A$273,0),0)&gt;0,VLOOKUP(B101,Start!A$253:F$273,3,FALSE)/100*Start!$F$4,VLOOKUP(WEEKDAY(B101,2),Start!A$240:F$246,6,FALSE))),"")</f>
        <v/>
      </c>
      <c r="E101">
        <f t="shared" ca="1" si="23"/>
        <v>0</v>
      </c>
      <c r="F101">
        <f>IFERROR(IF(YEAR(B101)=Start!$B$1,MONTH(B101),""),"")</f>
        <v>2</v>
      </c>
      <c r="G101" s="64" t="str">
        <f>IFERROR(VLOOKUP(B101,Start!A$111:B$273,2,FALSE),"")</f>
        <v/>
      </c>
      <c r="H101" s="21"/>
      <c r="I101" s="78">
        <v>0.33333333333333331</v>
      </c>
      <c r="J101" s="78">
        <v>0.33333333333333331</v>
      </c>
      <c r="K101" s="1" t="str">
        <f>IF(Start!$B$6="Ja","",IF(((J101-I101)*24)&gt;=5.5,"X",""))</f>
        <v/>
      </c>
      <c r="L101" s="1" t="str">
        <f>IF(_xlfn.IFNA(MATCH($A99,Start!$H$3:$H$11,0),0)&gt;0,"Ferie",IFERROR(IF(VLOOKUP(B101,Start!A$165:B$234,2,FALSE)&gt;0,"Fri",0),IF(AND((J101-I101)=0,Z101=""),"",MAX((IF(K101="X",(J101-I101)*24-0.5,(J101-I101)*24)),Z101))))</f>
        <v/>
      </c>
      <c r="M101" s="58"/>
      <c r="N101" s="21" t="str">
        <f t="shared" si="95"/>
        <v/>
      </c>
      <c r="O101" s="21" t="str">
        <f t="shared" si="96"/>
        <v/>
      </c>
      <c r="P101" s="2"/>
      <c r="Q101" s="21"/>
      <c r="R101" s="78">
        <v>0.33333333333333331</v>
      </c>
      <c r="S101" s="78">
        <v>0.33333333333333331</v>
      </c>
      <c r="T101" s="1" t="str">
        <f>IF(Start!$B$6="Ja","",IF(((S101-R101)*24)&gt;=5.5,"X",""))</f>
        <v/>
      </c>
      <c r="U101" s="1" t="str">
        <f>IF(_xlfn.IFNA(MATCH($A$15,Start!$H$3:$H$11,0),0)&gt;0,"Ferie",(IF(L101="fri","Fri",(IF(L101="syk","Syk",IF(L101="Ferie","Ferie",IF(AND((S101-R101)=0,AB101=""),"",MAX((IF(T101="X",(S101-R101)*24-0.5,(S101-R101)*24)),AB101))))))))</f>
        <v/>
      </c>
      <c r="V101" s="58"/>
      <c r="W101" s="21" t="str">
        <f t="shared" si="97"/>
        <v/>
      </c>
      <c r="X101" s="21" t="str">
        <f t="shared" si="98"/>
        <v/>
      </c>
      <c r="Z101" s="70" t="str">
        <f>IF(SUMIFS(TrackingTime!H:H,TrackingTime!F:F,Timer!B101,TrackingTime!C:C,"Hovedkontoret")&gt;0,SUMIFS(TrackingTime!H:H,TrackingTime!F:F,Timer!B101,TrackingTime!C:C,"Hovedkontoret"),"")</f>
        <v/>
      </c>
      <c r="AA101" s="71" t="str">
        <f t="shared" si="69"/>
        <v/>
      </c>
      <c r="AB101" t="str">
        <f>IF(SUMIFS(TrackingTime!H:H,TrackingTime!F:F,Timer!B101,TrackingTime!C:C,Start!$F$3)&gt;0,SUMIFS(TrackingTime!H:H,TrackingTime!F:F,Timer!B101,TrackingTime!C:C,Start!$F$3),"")</f>
        <v/>
      </c>
      <c r="AC101" s="71" t="str">
        <f t="shared" si="72"/>
        <v/>
      </c>
    </row>
    <row r="102" spans="1:29" x14ac:dyDescent="0.25">
      <c r="A102" s="15"/>
      <c r="B102" s="63">
        <f t="shared" si="99"/>
        <v>46072</v>
      </c>
      <c r="C102" t="str">
        <f>IFERROR(IF(OR(L102="Fri",L102="Ferie",L102="Syk",L102="Omsorg",B102&lt;Start!$B$7),0,IF(IFERROR(MATCH(B102,Start!A$253:A$273,0),0)&gt;0,VLOOKUP(B102,Start!A$253:F$273,3,FALSE)/100*Start!$B$4,VLOOKUP(WEEKDAY(B102,2),Start!A$240:F$246,4,FALSE))),"")</f>
        <v/>
      </c>
      <c r="D102" t="str">
        <f>IFERROR(IF(OR(U102="Fri",U102="Ferie",U102="Syk",U102="Omsorg",B102&lt;Start!$F$7),0,IF(IFERROR(MATCH(B102,Start!A$253:A$273,0),0)&gt;0,VLOOKUP(B102,Start!A$253:F$273,3,FALSE)/100*Start!$F$4,VLOOKUP(WEEKDAY(B102,2),Start!A$240:F$246,6,FALSE))),"")</f>
        <v/>
      </c>
      <c r="E102">
        <f t="shared" ref="E102:E165" ca="1" si="100">IF(B102&gt;TODAY(),0,1)</f>
        <v>0</v>
      </c>
      <c r="F102">
        <f>IFERROR(IF(YEAR(B102)=Start!$B$1,MONTH(B102),""),"")</f>
        <v>2</v>
      </c>
      <c r="G102" s="64" t="str">
        <f>IFERROR(VLOOKUP(B102,Start!A$111:B$273,2,FALSE),"")</f>
        <v/>
      </c>
      <c r="H102" s="21"/>
      <c r="I102" s="78">
        <v>0.33333333333333331</v>
      </c>
      <c r="J102" s="78">
        <v>0.33333333333333331</v>
      </c>
      <c r="K102" s="1" t="str">
        <f>IF(Start!$B$6="Ja","",IF(((J102-I102)*24)&gt;=5.5,"X",""))</f>
        <v/>
      </c>
      <c r="L102" s="1" t="str">
        <f>IF(_xlfn.IFNA(MATCH($A99,Start!$H$3:$H$11,0),0)&gt;0,"Ferie",IFERROR(IF(VLOOKUP(B102,Start!A$165:B$234,2,FALSE)&gt;0,"Fri",0),IF(AND((J102-I102)=0,Z102=""),"",MAX((IF(K102="X",(J102-I102)*24-0.5,(J102-I102)*24)),Z102))))</f>
        <v/>
      </c>
      <c r="M102" s="58"/>
      <c r="N102" s="21" t="str">
        <f t="shared" si="95"/>
        <v/>
      </c>
      <c r="O102" s="21" t="str">
        <f t="shared" si="96"/>
        <v/>
      </c>
      <c r="P102" s="2"/>
      <c r="Q102" s="21"/>
      <c r="R102" s="78">
        <v>0.33333333333333331</v>
      </c>
      <c r="S102" s="78">
        <v>0.33333333333333331</v>
      </c>
      <c r="T102" s="1" t="str">
        <f>IF(Start!$B$6="Ja","",IF(((S102-R102)*24)&gt;=5.5,"X",""))</f>
        <v/>
      </c>
      <c r="U102" s="1" t="str">
        <f>IF(_xlfn.IFNA(MATCH($A$15,Start!$H$3:$H$11,0),0)&gt;0,"Ferie",(IF(L102="fri","Fri",(IF(L102="syk","Syk",IF(L102="Ferie","Ferie",IF(AND((S102-R102)=0,AB102=""),"",MAX((IF(T102="X",(S102-R102)*24-0.5,(S102-R102)*24)),AB102))))))))</f>
        <v/>
      </c>
      <c r="V102" s="58"/>
      <c r="W102" s="21" t="str">
        <f t="shared" si="97"/>
        <v/>
      </c>
      <c r="X102" s="21" t="str">
        <f t="shared" si="98"/>
        <v/>
      </c>
      <c r="Z102" s="70" t="str">
        <f>IF(SUMIFS(TrackingTime!H:H,TrackingTime!F:F,Timer!B102,TrackingTime!C:C,"Hovedkontoret")&gt;0,SUMIFS(TrackingTime!H:H,TrackingTime!F:F,Timer!B102,TrackingTime!C:C,"Hovedkontoret"),"")</f>
        <v/>
      </c>
      <c r="AA102" s="71" t="str">
        <f t="shared" si="69"/>
        <v/>
      </c>
      <c r="AB102" t="str">
        <f>IF(SUMIFS(TrackingTime!H:H,TrackingTime!F:F,Timer!B102,TrackingTime!C:C,Start!$F$3)&gt;0,SUMIFS(TrackingTime!H:H,TrackingTime!F:F,Timer!B102,TrackingTime!C:C,Start!$F$3),"")</f>
        <v/>
      </c>
      <c r="AC102" s="71" t="str">
        <f t="shared" si="72"/>
        <v/>
      </c>
    </row>
    <row r="103" spans="1:29" x14ac:dyDescent="0.25">
      <c r="A103" s="15"/>
      <c r="B103" s="63">
        <f t="shared" si="99"/>
        <v>46073</v>
      </c>
      <c r="C103" t="str">
        <f>IFERROR(IF(OR(L103="Fri",L103="Ferie",L103="Syk",L103="Omsorg",B103&lt;Start!$B$7),0,IF(IFERROR(MATCH(B103,Start!A$253:A$273,0),0)&gt;0,VLOOKUP(B103,Start!A$253:F$273,3,FALSE)/100*Start!$B$4,VLOOKUP(WEEKDAY(B103,2),Start!A$240:F$246,4,FALSE))),"")</f>
        <v/>
      </c>
      <c r="D103" t="str">
        <f>IFERROR(IF(OR(U103="Fri",U103="Ferie",U103="Syk",U103="Omsorg",B103&lt;Start!$F$7),0,IF(IFERROR(MATCH(B103,Start!A$253:A$273,0),0)&gt;0,VLOOKUP(B103,Start!A$253:F$273,3,FALSE)/100*Start!$F$4,VLOOKUP(WEEKDAY(B103,2),Start!A$240:F$246,6,FALSE))),"")</f>
        <v/>
      </c>
      <c r="E103">
        <f t="shared" ca="1" si="100"/>
        <v>0</v>
      </c>
      <c r="F103">
        <f>IFERROR(IF(YEAR(B103)=Start!$B$1,MONTH(B103),""),"")</f>
        <v>2</v>
      </c>
      <c r="G103" s="64" t="str">
        <f>IFERROR(VLOOKUP(B103,Start!A$111:B$273,2,FALSE),"")</f>
        <v/>
      </c>
      <c r="H103" s="21"/>
      <c r="I103" s="78">
        <v>0.33333333333333331</v>
      </c>
      <c r="J103" s="78">
        <v>0.33333333333333331</v>
      </c>
      <c r="K103" s="1" t="str">
        <f>IF(Start!$B$6="Ja","",IF(((J103-I103)*24)&gt;=5.5,"X",""))</f>
        <v/>
      </c>
      <c r="L103" s="1" t="str">
        <f>IF(_xlfn.IFNA(MATCH($A99,Start!$H$3:$H$11,0),0)&gt;0,"Ferie",IFERROR(IF(VLOOKUP(B103,Start!A$165:B$234,2,FALSE)&gt;0,"Fri",0),IF(AND((J103-I103)=0,Z103=""),"",MAX((IF(K103="X",(J103-I103)*24-0.5,(J103-I103)*24)),Z103))))</f>
        <v/>
      </c>
      <c r="M103" s="58"/>
      <c r="N103" s="21" t="str">
        <f t="shared" si="95"/>
        <v/>
      </c>
      <c r="O103" s="21" t="str">
        <f t="shared" si="96"/>
        <v/>
      </c>
      <c r="P103" s="2"/>
      <c r="Q103" s="21"/>
      <c r="R103" s="78">
        <v>0.33333333333333331</v>
      </c>
      <c r="S103" s="78">
        <v>0.33333333333333331</v>
      </c>
      <c r="T103" s="1" t="str">
        <f>IF(Start!$B$6="Ja","",IF(((S103-R103)*24)&gt;=5.5,"X",""))</f>
        <v/>
      </c>
      <c r="U103" s="1" t="str">
        <f>IF(_xlfn.IFNA(MATCH($A$15,Start!$H$3:$H$11,0),0)&gt;0,"Ferie",(IF(L103="fri","Fri",(IF(L103="syk","Syk",IF(L103="Ferie","Ferie",IF(AND((S103-R103)=0,AB103=""),"",MAX((IF(T103="X",(S103-R103)*24-0.5,(S103-R103)*24)),AB103))))))))</f>
        <v/>
      </c>
      <c r="V103" s="58"/>
      <c r="W103" s="21" t="str">
        <f t="shared" si="97"/>
        <v/>
      </c>
      <c r="X103" s="21" t="str">
        <f t="shared" si="98"/>
        <v/>
      </c>
      <c r="Z103" s="70" t="str">
        <f>IF(SUMIFS(TrackingTime!H:H,TrackingTime!F:F,Timer!B103,TrackingTime!C:C,"Hovedkontoret")&gt;0,SUMIFS(TrackingTime!H:H,TrackingTime!F:F,Timer!B103,TrackingTime!C:C,"Hovedkontoret"),"")</f>
        <v/>
      </c>
      <c r="AA103" s="71" t="str">
        <f t="shared" si="69"/>
        <v/>
      </c>
      <c r="AB103" t="str">
        <f>IF(SUMIFS(TrackingTime!H:H,TrackingTime!F:F,Timer!B103,TrackingTime!C:C,Start!$F$3)&gt;0,SUMIFS(TrackingTime!H:H,TrackingTime!F:F,Timer!B103,TrackingTime!C:C,Start!$F$3),"")</f>
        <v/>
      </c>
      <c r="AC103" s="71" t="str">
        <f t="shared" si="72"/>
        <v/>
      </c>
    </row>
    <row r="104" spans="1:29" x14ac:dyDescent="0.25">
      <c r="A104" s="15"/>
      <c r="B104" s="63">
        <f t="shared" si="99"/>
        <v>46074</v>
      </c>
      <c r="C104">
        <f>IFERROR(IF(OR(L104="Fri",L104="Ferie",L104="Syk",L104="Omsorg",B104&lt;Start!$B$7),0,IF(IFERROR(MATCH(B104,Start!A$253:A$273,0),0)&gt;0,VLOOKUP(B104,Start!A$253:F$273,3,FALSE)/100*Start!$B$4,VLOOKUP(WEEKDAY(B104,2),Start!A$240:F$246,4,FALSE))),"")</f>
        <v>0</v>
      </c>
      <c r="D104">
        <f>IFERROR(IF(OR(U104="Fri",U104="Ferie",U104="Syk",U104="Omsorg",B104&lt;Start!$F$7),0,IF(IFERROR(MATCH(B104,Start!A$253:A$273,0),0)&gt;0,VLOOKUP(B104,Start!A$253:F$273,3,FALSE)/100*Start!$F$4,VLOOKUP(WEEKDAY(B104,2),Start!A$240:F$246,6,FALSE))),"")</f>
        <v>0</v>
      </c>
      <c r="E104">
        <f t="shared" ca="1" si="100"/>
        <v>0</v>
      </c>
      <c r="F104">
        <f>IFERROR(IF(YEAR(B104)=Start!$B$1,MONTH(B104),""),"")</f>
        <v>2</v>
      </c>
      <c r="G104" s="64" t="str">
        <f>IFERROR(VLOOKUP(B104,Start!A$111:B$273,2,FALSE),"")</f>
        <v/>
      </c>
      <c r="H104" s="21"/>
      <c r="I104" s="78">
        <v>0.41666666666666669</v>
      </c>
      <c r="J104" s="78">
        <v>0.41666666666666669</v>
      </c>
      <c r="K104" s="1" t="str">
        <f>IF(Start!$B$6="Ja","",IF(((J104-I104)*24)&gt;=5.5,"X",""))</f>
        <v/>
      </c>
      <c r="L104" s="1" t="str">
        <f t="shared" ref="L104:L105" si="101">IF(AND((J104-I104)=0,Z104=""),"",MAX((IF(K104="X",(J104-I104)*24-0.5,(J104-I104)*24)),Z104))</f>
        <v/>
      </c>
      <c r="M104" s="58"/>
      <c r="N104" s="21" t="str">
        <f t="shared" si="95"/>
        <v/>
      </c>
      <c r="O104" s="21" t="str">
        <f t="shared" si="96"/>
        <v/>
      </c>
      <c r="P104" s="2"/>
      <c r="Q104" s="21"/>
      <c r="R104" s="78">
        <v>0.41666666666666669</v>
      </c>
      <c r="S104" s="78">
        <v>0.41666666666666669</v>
      </c>
      <c r="T104" s="1" t="str">
        <f>IF(Start!$B$6="Ja","",IF(((S104-R104)*24)&gt;=5.5,"X",""))</f>
        <v/>
      </c>
      <c r="U104" s="1" t="str">
        <f t="shared" ref="U104:U105" si="102">IF(AND((S104-R104)=0,AB104=""),"",MAX((IF(T104="X",(S104-R104)*24-0.5,(S104-R104)*24)),AB104))</f>
        <v/>
      </c>
      <c r="V104" s="58"/>
      <c r="W104" s="21" t="str">
        <f t="shared" si="97"/>
        <v/>
      </c>
      <c r="X104" s="21" t="str">
        <f t="shared" si="98"/>
        <v/>
      </c>
      <c r="Z104" s="70" t="str">
        <f>IF(SUMIFS(TrackingTime!H:H,TrackingTime!F:F,Timer!B104,TrackingTime!C:C,"Hovedkontoret")&gt;0,SUMIFS(TrackingTime!H:H,TrackingTime!F:F,Timer!B104,TrackingTime!C:C,"Hovedkontoret"),"")</f>
        <v/>
      </c>
      <c r="AA104" s="71" t="str">
        <f t="shared" si="69"/>
        <v/>
      </c>
      <c r="AB104" t="str">
        <f>IF(SUMIFS(TrackingTime!H:H,TrackingTime!F:F,Timer!B104,TrackingTime!C:C,Start!$F$3)&gt;0,SUMIFS(TrackingTime!H:H,TrackingTime!F:F,Timer!B104,TrackingTime!C:C,Start!$F$3),"")</f>
        <v/>
      </c>
      <c r="AC104" s="71" t="str">
        <f t="shared" si="72"/>
        <v/>
      </c>
    </row>
    <row r="105" spans="1:29" x14ac:dyDescent="0.25">
      <c r="A105" s="15"/>
      <c r="B105" s="63">
        <f t="shared" si="99"/>
        <v>46075</v>
      </c>
      <c r="C105">
        <f>IFERROR(IF(OR(L105="Fri",L105="Ferie",L105="Syk",L105="Omsorg",B105&lt;Start!$B$7),0,IF(IFERROR(MATCH(B105,Start!A$253:A$273,0),0)&gt;0,VLOOKUP(B105,Start!A$253:F$273,3,FALSE)/100*Start!$B$4,VLOOKUP(WEEKDAY(B105,2),Start!A$240:F$246,4,FALSE))),"")</f>
        <v>0</v>
      </c>
      <c r="D105">
        <f>IFERROR(IF(OR(U105="Fri",U105="Ferie",U105="Syk",U105="Omsorg",B105&lt;Start!$F$7),0,IF(IFERROR(MATCH(B105,Start!A$253:A$273,0),0)&gt;0,VLOOKUP(B105,Start!A$253:F$273,3,FALSE)/100*Start!$F$4,VLOOKUP(WEEKDAY(B105,2),Start!A$240:F$246,6,FALSE))),"")</f>
        <v>0</v>
      </c>
      <c r="E105">
        <f t="shared" ca="1" si="100"/>
        <v>0</v>
      </c>
      <c r="F105">
        <f>IFERROR(IF(YEAR(B105)=Start!$B$1,MONTH(B105),""),"")</f>
        <v>2</v>
      </c>
      <c r="G105" s="64" t="str">
        <f>IFERROR(VLOOKUP(B105,Start!A$111:B$273,2,FALSE),"")</f>
        <v/>
      </c>
      <c r="H105" s="25"/>
      <c r="I105" s="78">
        <v>0.41666666666666669</v>
      </c>
      <c r="J105" s="78">
        <v>0.41666666666666669</v>
      </c>
      <c r="K105" s="1" t="str">
        <f>IF(Start!$B$6="Ja","",IF(((J105-I105)*24)&gt;=5.5,"X",""))</f>
        <v/>
      </c>
      <c r="L105" s="1" t="str">
        <f t="shared" si="101"/>
        <v/>
      </c>
      <c r="M105" s="58"/>
      <c r="N105" s="21" t="str">
        <f t="shared" si="95"/>
        <v/>
      </c>
      <c r="O105" s="21" t="str">
        <f t="shared" si="96"/>
        <v/>
      </c>
      <c r="Q105" s="25"/>
      <c r="R105" s="78">
        <v>0.41666666666666669</v>
      </c>
      <c r="S105" s="78">
        <v>0.41666666666666669</v>
      </c>
      <c r="T105" s="1" t="str">
        <f>IF(Start!$B$6="Ja","",IF(((S105-R105)*24)&gt;=5.5,"X",""))</f>
        <v/>
      </c>
      <c r="U105" s="1" t="str">
        <f t="shared" si="102"/>
        <v/>
      </c>
      <c r="V105" s="58"/>
      <c r="W105" s="21" t="str">
        <f t="shared" si="97"/>
        <v/>
      </c>
      <c r="X105" s="21" t="str">
        <f t="shared" si="98"/>
        <v/>
      </c>
      <c r="Z105" s="70" t="str">
        <f>IF(SUMIFS(TrackingTime!H:H,TrackingTime!F:F,Timer!B105,TrackingTime!C:C,"Hovedkontoret")&gt;0,SUMIFS(TrackingTime!H:H,TrackingTime!F:F,Timer!B105,TrackingTime!C:C,"Hovedkontoret"),"")</f>
        <v/>
      </c>
      <c r="AA105" s="71" t="str">
        <f t="shared" si="69"/>
        <v/>
      </c>
      <c r="AB105" t="str">
        <f>IF(SUMIFS(TrackingTime!H:H,TrackingTime!F:F,Timer!B105,TrackingTime!C:C,Start!$F$3)&gt;0,SUMIFS(TrackingTime!H:H,TrackingTime!F:F,Timer!B105,TrackingTime!C:C,Start!$F$3),"")</f>
        <v/>
      </c>
      <c r="AC105" s="71" t="str">
        <f t="shared" si="72"/>
        <v/>
      </c>
    </row>
    <row r="106" spans="1:29" x14ac:dyDescent="0.25">
      <c r="A106" s="15"/>
      <c r="B106" s="4" t="s">
        <v>11</v>
      </c>
      <c r="C106" s="24"/>
      <c r="D106" s="24"/>
      <c r="E106" s="24">
        <f t="shared" ca="1" si="100"/>
        <v>0</v>
      </c>
      <c r="F106" s="24" t="str">
        <f>IFERROR(IF(YEAR(B106)=Start!$B$1,MONTH(B106),""),"")</f>
        <v/>
      </c>
      <c r="G106" s="64" t="str">
        <f>IFERROR(VLOOKUP(B106,Start!A$111:B$273,2,FALSE),"")</f>
        <v/>
      </c>
      <c r="H106" s="4"/>
      <c r="I106" s="4"/>
      <c r="J106" s="4"/>
      <c r="K106" s="4"/>
      <c r="L106" s="5">
        <f t="shared" si="86"/>
        <v>0</v>
      </c>
      <c r="N106" s="24"/>
      <c r="O106" s="39">
        <f t="shared" ref="O106" si="103">SUM(O99:O105)</f>
        <v>0</v>
      </c>
      <c r="P106" s="40"/>
      <c r="Q106" s="41"/>
      <c r="R106" s="4"/>
      <c r="S106" s="4"/>
      <c r="T106" s="4"/>
      <c r="U106" s="5">
        <f t="shared" ref="U106" si="104">SUM($U99:$U105)</f>
        <v>0</v>
      </c>
      <c r="V106" s="58"/>
      <c r="W106" s="39"/>
      <c r="X106" s="39">
        <f t="shared" ref="X106:X154" si="105">SUM(X99:X105)</f>
        <v>0</v>
      </c>
      <c r="Z106" s="70" t="str">
        <f>IF(SUMIFS(TrackingTime!H:H,TrackingTime!F:F,Timer!B106,TrackingTime!C:C,"Hovedkontoret")&gt;0,SUMIFS(TrackingTime!H:H,TrackingTime!F:F,Timer!B106,TrackingTime!C:C,"Hovedkontoret"),"")</f>
        <v/>
      </c>
      <c r="AA106" s="71" t="str">
        <f t="shared" si="69"/>
        <v/>
      </c>
      <c r="AB106" t="str">
        <f>IF(SUMIFS(TrackingTime!H:H,TrackingTime!F:F,Timer!B106,TrackingTime!C:C,Start!$F$3)&gt;0,SUMIFS(TrackingTime!H:H,TrackingTime!F:F,Timer!B106,TrackingTime!C:C,Start!$F$3),"")</f>
        <v/>
      </c>
      <c r="AC106" s="71" t="str">
        <f t="shared" si="72"/>
        <v/>
      </c>
    </row>
    <row r="107" spans="1:29" x14ac:dyDescent="0.25">
      <c r="A107" s="15"/>
      <c r="B107" t="s">
        <v>90</v>
      </c>
      <c r="E107">
        <f t="shared" ca="1" si="100"/>
        <v>0</v>
      </c>
      <c r="F107" t="str">
        <f>IFERROR(IF(YEAR(B107)=Start!$B$1,MONTH(B107),""),"")</f>
        <v/>
      </c>
      <c r="G107" s="64" t="str">
        <f>IFERROR(VLOOKUP(B107,Start!A$111:B$273,2,FALSE),"")</f>
        <v/>
      </c>
      <c r="L107" s="1">
        <f t="shared" si="89"/>
        <v>0</v>
      </c>
      <c r="M107" s="1"/>
      <c r="N107" s="1"/>
      <c r="O107" s="21">
        <f t="shared" ref="O107" si="106">L107</f>
        <v>0</v>
      </c>
      <c r="P107" s="40"/>
      <c r="Q107" s="21"/>
      <c r="U107" s="1">
        <f t="shared" ref="U107" si="107">SUMIFS(D99:D105,F99:F105,"&gt;0")</f>
        <v>0</v>
      </c>
      <c r="V107" s="1"/>
      <c r="W107" s="1"/>
      <c r="X107" s="21">
        <f>U107</f>
        <v>0</v>
      </c>
      <c r="Z107" s="70" t="str">
        <f>IF(SUMIFS(TrackingTime!H:H,TrackingTime!F:F,Timer!B107,TrackingTime!C:C,"Hovedkontoret")&gt;0,SUMIFS(TrackingTime!H:H,TrackingTime!F:F,Timer!B107,TrackingTime!C:C,"Hovedkontoret"),"")</f>
        <v/>
      </c>
      <c r="AA107" s="71" t="str">
        <f t="shared" si="69"/>
        <v/>
      </c>
      <c r="AB107" t="str">
        <f>IF(SUMIFS(TrackingTime!H:H,TrackingTime!F:F,Timer!B107,TrackingTime!C:C,Start!$F$3)&gt;0,SUMIFS(TrackingTime!H:H,TrackingTime!F:F,Timer!B107,TrackingTime!C:C,Start!$F$3),"")</f>
        <v/>
      </c>
      <c r="AC107" s="71" t="str">
        <f t="shared" si="72"/>
        <v/>
      </c>
    </row>
    <row r="108" spans="1:29" x14ac:dyDescent="0.25">
      <c r="A108" s="16">
        <f>B105-B99-1</f>
        <v>5</v>
      </c>
      <c r="B108" t="s">
        <v>117</v>
      </c>
      <c r="E108">
        <f t="shared" ca="1" si="100"/>
        <v>0</v>
      </c>
      <c r="F108" t="str">
        <f>IFERROR(IF(YEAR(B108)=Start!$B$1,MONTH(B108),""),"")</f>
        <v/>
      </c>
      <c r="G108" s="64" t="str">
        <f>IFERROR(VLOOKUP(B108,Start!A$111:B$273,2,FALSE),"")</f>
        <v/>
      </c>
      <c r="L108" s="77">
        <f t="shared" ca="1" si="92"/>
        <v>0</v>
      </c>
      <c r="O108" s="21">
        <f t="shared" ref="O108" si="108">O106-O107</f>
        <v>0</v>
      </c>
      <c r="P108" s="21"/>
      <c r="Q108" s="21"/>
      <c r="U108" s="1">
        <f t="shared" ref="U108" ca="1" si="109">U106-U107*(IF(NETWORKDAYS($B99,TODAY())&lt;0,0,IF(NETWORKDAYS($B99,TODAY())&lt;=$A108,NETWORKDAYS($B99,TODAY()),$A108)))/$A108</f>
        <v>0</v>
      </c>
      <c r="V108" s="58"/>
      <c r="W108" s="21"/>
      <c r="X108" s="21">
        <f>X106-X107</f>
        <v>0</v>
      </c>
      <c r="Z108" s="70" t="str">
        <f>IF(SUMIFS(TrackingTime!H:H,TrackingTime!F:F,Timer!B108,TrackingTime!C:C,"Hovedkontoret")&gt;0,SUMIFS(TrackingTime!H:H,TrackingTime!F:F,Timer!B108,TrackingTime!C:C,"Hovedkontoret"),"")</f>
        <v/>
      </c>
      <c r="AA108" s="71" t="str">
        <f t="shared" si="69"/>
        <v/>
      </c>
      <c r="AB108" t="str">
        <f>IF(SUMIFS(TrackingTime!H:H,TrackingTime!F:F,Timer!B108,TrackingTime!C:C,Start!$F$3)&gt;0,SUMIFS(TrackingTime!H:H,TrackingTime!F:F,Timer!B108,TrackingTime!C:C,Start!$F$3),"")</f>
        <v/>
      </c>
      <c r="AC108" s="71" t="str">
        <f t="shared" si="72"/>
        <v/>
      </c>
    </row>
    <row r="109" spans="1:29" x14ac:dyDescent="0.25">
      <c r="A109" s="15"/>
      <c r="E109">
        <f t="shared" ca="1" si="100"/>
        <v>1</v>
      </c>
      <c r="F109" t="str">
        <f>IFERROR(IF(YEAR(B109)=Start!$B$1,MONTH(B109),""),"")</f>
        <v/>
      </c>
      <c r="G109" s="64" t="str">
        <f>IFERROR(VLOOKUP(B109,Start!A$111:B$273,2,FALSE),"")</f>
        <v/>
      </c>
      <c r="O109" s="2"/>
      <c r="P109" s="2"/>
      <c r="U109" s="1"/>
      <c r="V109" s="7"/>
      <c r="X109" s="2"/>
      <c r="Z109" s="70" t="str">
        <f>IF(SUMIFS(TrackingTime!H:H,TrackingTime!F:F,Timer!B109,TrackingTime!C:C,"Hovedkontoret")&gt;0,SUMIFS(TrackingTime!H:H,TrackingTime!F:F,Timer!B109,TrackingTime!C:C,"Hovedkontoret"),"")</f>
        <v/>
      </c>
      <c r="AA109" s="71" t="str">
        <f t="shared" si="69"/>
        <v/>
      </c>
      <c r="AB109" t="str">
        <f>IF(SUMIFS(TrackingTime!H:H,TrackingTime!F:F,Timer!B109,TrackingTime!C:C,Start!$F$3)&gt;0,SUMIFS(TrackingTime!H:H,TrackingTime!F:F,Timer!B109,TrackingTime!C:C,Start!$F$3),"")</f>
        <v/>
      </c>
      <c r="AC109" s="71" t="str">
        <f t="shared" si="72"/>
        <v/>
      </c>
    </row>
    <row r="110" spans="1:29" x14ac:dyDescent="0.25">
      <c r="A110" s="2" t="s">
        <v>82</v>
      </c>
      <c r="B110" s="14" t="s">
        <v>83</v>
      </c>
      <c r="E110">
        <f t="shared" ca="1" si="100"/>
        <v>0</v>
      </c>
      <c r="F110" t="str">
        <f>IFERROR(IF(YEAR(B110)=Start!$B$1,MONTH(B110),""),"")</f>
        <v/>
      </c>
      <c r="G110" s="64" t="str">
        <f>IFERROR(VLOOKUP(B110,Start!A$111:B$273,2,FALSE),"")</f>
        <v/>
      </c>
      <c r="H110" s="2" t="s">
        <v>86</v>
      </c>
      <c r="I110" s="2" t="s">
        <v>125</v>
      </c>
      <c r="J110" s="2" t="s">
        <v>126</v>
      </c>
      <c r="K110" s="2" t="s">
        <v>127</v>
      </c>
      <c r="L110" s="3" t="s">
        <v>87</v>
      </c>
      <c r="M110" s="6"/>
      <c r="N110" s="2" t="s">
        <v>88</v>
      </c>
      <c r="O110" s="2" t="s">
        <v>89</v>
      </c>
      <c r="P110" s="2"/>
      <c r="Q110" s="2" t="s">
        <v>86</v>
      </c>
      <c r="R110" s="2" t="s">
        <v>125</v>
      </c>
      <c r="S110" s="2" t="s">
        <v>126</v>
      </c>
      <c r="T110" s="2" t="s">
        <v>127</v>
      </c>
      <c r="U110" s="3" t="s">
        <v>87</v>
      </c>
      <c r="V110" s="6"/>
      <c r="W110" s="2" t="s">
        <v>88</v>
      </c>
      <c r="X110" s="2" t="s">
        <v>89</v>
      </c>
      <c r="Z110" s="70" t="str">
        <f>IF(SUMIFS(TrackingTime!H:H,TrackingTime!F:F,Timer!B110,TrackingTime!C:C,"Hovedkontoret")&gt;0,SUMIFS(TrackingTime!H:H,TrackingTime!F:F,Timer!B110,TrackingTime!C:C,"Hovedkontoret"),"")</f>
        <v/>
      </c>
      <c r="AA110" s="71" t="str">
        <f t="shared" si="69"/>
        <v/>
      </c>
      <c r="AB110" t="str">
        <f>IF(SUMIFS(TrackingTime!H:H,TrackingTime!F:F,Timer!B110,TrackingTime!C:C,Start!$F$3)&gt;0,SUMIFS(TrackingTime!H:H,TrackingTime!F:F,Timer!B110,TrackingTime!C:C,Start!$F$3),"")</f>
        <v/>
      </c>
      <c r="AC110" s="71" t="str">
        <f t="shared" si="72"/>
        <v/>
      </c>
    </row>
    <row r="111" spans="1:29" x14ac:dyDescent="0.25">
      <c r="A111" s="15">
        <f>WEEKNUM(B111,21)</f>
        <v>9</v>
      </c>
      <c r="B111" s="63">
        <f>B105+(DAY(1))</f>
        <v>46076</v>
      </c>
      <c r="C111" t="str">
        <f>IFERROR(IF(OR(L111="Fri",L111="Ferie",L111="Syk",L111="Omsorg",B111&lt;Start!$B$7),0,IF(IFERROR(MATCH(B111,Start!A$253:A$273,0),0)&gt;0,VLOOKUP(B111,Start!A$253:F$273,3,FALSE)/100*Start!$B$4,VLOOKUP(WEEKDAY(B111,2),Start!A$240:F$246,4,FALSE))),"")</f>
        <v/>
      </c>
      <c r="D111" t="str">
        <f>IFERROR(IF(OR(U111="Fri",U111="Ferie",U111="Syk",U111="Omsorg",B111&lt;Start!$F$7),0,IF(IFERROR(MATCH(B111,Start!A$253:A$273,0),0)&gt;0,VLOOKUP(B111,Start!A$253:F$273,3,FALSE)/100*Start!$F$4,VLOOKUP(WEEKDAY(B111,2),Start!A$240:F$246,6,FALSE))),"")</f>
        <v/>
      </c>
      <c r="E111">
        <f t="shared" ca="1" si="100"/>
        <v>0</v>
      </c>
      <c r="F111">
        <f>IFERROR(IF(YEAR(B111)=Start!$B$1,MONTH(B111),""),"")</f>
        <v>2</v>
      </c>
      <c r="G111" s="64" t="str">
        <f>IFERROR(VLOOKUP(B111,Start!A$111:B$273,2,FALSE),"")</f>
        <v/>
      </c>
      <c r="H111" s="21"/>
      <c r="I111" s="78">
        <v>0.33333333333333331</v>
      </c>
      <c r="J111" s="78">
        <v>0.33333333333333331</v>
      </c>
      <c r="K111" s="1" t="str">
        <f>IF(Start!$B$6="Ja","",IF(((J111-I111)*24)&gt;=5.5,"X",""))</f>
        <v/>
      </c>
      <c r="L111" s="1" t="str">
        <f>IF(_xlfn.IFNA(MATCH($A111,Start!$H$3:$H$11,0),0)&gt;0,"Ferie",IFERROR(IF(VLOOKUP(B111,Start!A$165:B$234,2,FALSE)&gt;0,"Fri",0),IF(AND((J111-I111)=0,Z111=""),"",MAX((IF(K111="X",(J111-I111)*24-0.5,(J111-I111)*24)),Z111))))</f>
        <v/>
      </c>
      <c r="M111" s="58"/>
      <c r="N111" s="21" t="str">
        <f t="shared" ref="N111:N117" si="110">IF(H111=0,"",H111)</f>
        <v/>
      </c>
      <c r="O111" s="21" t="str">
        <f t="shared" ref="O111:O117" si="111">IF(L111=0,"",L111)</f>
        <v/>
      </c>
      <c r="P111" s="2"/>
      <c r="Q111" s="21"/>
      <c r="R111" s="78">
        <v>0.33333333333333331</v>
      </c>
      <c r="S111" s="78">
        <v>0.33333333333333331</v>
      </c>
      <c r="T111" s="1" t="str">
        <f>IF(Start!$B$6="Ja","",IF(((S111-R111)*24)&gt;=5.5,"X",""))</f>
        <v/>
      </c>
      <c r="U111" s="1" t="str">
        <f>IF(_xlfn.IFNA(MATCH($A$15,Start!$H$3:$H$11,0),0)&gt;0,"Ferie",(IF(L111="fri","Fri",(IF(L111="syk","Syk",IF(L111="Ferie","Ferie",IF(AND((S111-R111)=0,AB111=""),"",MAX((IF(T111="X",(S111-R111)*24-0.5,(S111-R111)*24)),AB111))))))))</f>
        <v/>
      </c>
      <c r="V111" s="58"/>
      <c r="W111" s="21" t="str">
        <f t="shared" ref="W111:W117" si="112">IF(Q111=0,"",Q111)</f>
        <v/>
      </c>
      <c r="X111" s="21" t="str">
        <f t="shared" ref="X111:X117" si="113">IF(U111=0,"",U111)</f>
        <v/>
      </c>
      <c r="Z111" s="70" t="str">
        <f>IF(SUMIFS(TrackingTime!H:H,TrackingTime!F:F,Timer!B111,TrackingTime!C:C,"Hovedkontoret")&gt;0,SUMIFS(TrackingTime!H:H,TrackingTime!F:F,Timer!B111,TrackingTime!C:C,"Hovedkontoret"),"")</f>
        <v/>
      </c>
      <c r="AA111" s="71" t="str">
        <f t="shared" si="69"/>
        <v/>
      </c>
      <c r="AB111" t="str">
        <f>IF(SUMIFS(TrackingTime!H:H,TrackingTime!F:F,Timer!B111,TrackingTime!C:C,Start!$F$3)&gt;0,SUMIFS(TrackingTime!H:H,TrackingTime!F:F,Timer!B111,TrackingTime!C:C,Start!$F$3),"")</f>
        <v/>
      </c>
      <c r="AC111" s="71" t="str">
        <f t="shared" si="72"/>
        <v/>
      </c>
    </row>
    <row r="112" spans="1:29" x14ac:dyDescent="0.25">
      <c r="A112" s="15"/>
      <c r="B112" s="63">
        <f t="shared" ref="B112:B117" si="114">B111+DAY(1)</f>
        <v>46077</v>
      </c>
      <c r="C112" t="str">
        <f>IFERROR(IF(OR(L112="Fri",L112="Ferie",L112="Syk",L112="Omsorg",B112&lt;Start!$B$7),0,IF(IFERROR(MATCH(B112,Start!A$253:A$273,0),0)&gt;0,VLOOKUP(B112,Start!A$253:F$273,3,FALSE)/100*Start!$B$4,VLOOKUP(WEEKDAY(B112,2),Start!A$240:F$246,4,FALSE))),"")</f>
        <v/>
      </c>
      <c r="D112" t="str">
        <f>IFERROR(IF(OR(U112="Fri",U112="Ferie",U112="Syk",U112="Omsorg",B112&lt;Start!$F$7),0,IF(IFERROR(MATCH(B112,Start!A$253:A$273,0),0)&gt;0,VLOOKUP(B112,Start!A$253:F$273,3,FALSE)/100*Start!$F$4,VLOOKUP(WEEKDAY(B112,2),Start!A$240:F$246,6,FALSE))),"")</f>
        <v/>
      </c>
      <c r="E112">
        <f t="shared" ca="1" si="100"/>
        <v>0</v>
      </c>
      <c r="F112">
        <f>IFERROR(IF(YEAR(B112)=Start!$B$1,MONTH(B112),""),"")</f>
        <v>2</v>
      </c>
      <c r="G112" s="64" t="str">
        <f>IFERROR(VLOOKUP(B112,Start!A$111:B$273,2,FALSE),"")</f>
        <v/>
      </c>
      <c r="H112" s="21"/>
      <c r="I112" s="78">
        <v>0.33333333333333331</v>
      </c>
      <c r="J112" s="78">
        <v>0.33333333333333331</v>
      </c>
      <c r="K112" s="1" t="str">
        <f>IF(Start!$B$6="Ja","",IF(((J112-I112)*24)&gt;=5.5,"X",""))</f>
        <v/>
      </c>
      <c r="L112" s="1" t="str">
        <f>IF(_xlfn.IFNA(MATCH($A111,Start!$H$3:$H$11,0),0)&gt;0,"Ferie",IFERROR(IF(VLOOKUP($B112,Start!$A$165:$B$234,2,FALSE)&gt;0,"Fri",0),IF(AND((J112-I112)=0,Z112=""),"",MAX((IF(K112="X",(J112-I112)*24-0.5,(J112-I112)*24)),Z112))))</f>
        <v/>
      </c>
      <c r="M112" s="58"/>
      <c r="N112" s="21" t="str">
        <f t="shared" si="110"/>
        <v/>
      </c>
      <c r="O112" s="21" t="str">
        <f t="shared" si="111"/>
        <v/>
      </c>
      <c r="P112" s="2"/>
      <c r="Q112" s="21"/>
      <c r="R112" s="78">
        <v>0.33333333333333331</v>
      </c>
      <c r="S112" s="78">
        <v>0.33333333333333331</v>
      </c>
      <c r="T112" s="1" t="str">
        <f>IF(Start!$B$6="Ja","",IF(((S112-R112)*24)&gt;=5.5,"X",""))</f>
        <v/>
      </c>
      <c r="U112" s="1" t="str">
        <f>IF(_xlfn.IFNA(MATCH($A$15,Start!$H$3:$H$11,0),0)&gt;0,"Ferie",(IF(L112="fri","Fri",(IF(L112="syk","Syk",IF(L112="Ferie","Ferie",IF(AND((S112-R112)=0,AB112=""),"",MAX((IF(T112="X",(S112-R112)*24-0.5,(S112-R112)*24)),AB112))))))))</f>
        <v/>
      </c>
      <c r="V112" s="58"/>
      <c r="W112" s="21" t="str">
        <f t="shared" si="112"/>
        <v/>
      </c>
      <c r="X112" s="21" t="str">
        <f t="shared" si="113"/>
        <v/>
      </c>
      <c r="Z112" s="70" t="str">
        <f>IF(SUMIFS(TrackingTime!H:H,TrackingTime!F:F,Timer!B112,TrackingTime!C:C,"Hovedkontoret")&gt;0,SUMIFS(TrackingTime!H:H,TrackingTime!F:F,Timer!B112,TrackingTime!C:C,"Hovedkontoret"),"")</f>
        <v/>
      </c>
      <c r="AA112" s="71" t="str">
        <f t="shared" si="69"/>
        <v/>
      </c>
      <c r="AB112" t="str">
        <f>IF(SUMIFS(TrackingTime!H:H,TrackingTime!F:F,Timer!B112,TrackingTime!C:C,Start!$F$3)&gt;0,SUMIFS(TrackingTime!H:H,TrackingTime!F:F,Timer!B112,TrackingTime!C:C,Start!$F$3),"")</f>
        <v/>
      </c>
      <c r="AC112" s="71" t="str">
        <f t="shared" si="72"/>
        <v/>
      </c>
    </row>
    <row r="113" spans="1:29" x14ac:dyDescent="0.25">
      <c r="A113" s="15"/>
      <c r="B113" s="63">
        <f t="shared" si="114"/>
        <v>46078</v>
      </c>
      <c r="C113" t="str">
        <f>IFERROR(IF(OR(L113="Fri",L113="Ferie",L113="Syk",L113="Omsorg",B113&lt;Start!$B$7),0,IF(IFERROR(MATCH(B113,Start!A$253:A$273,0),0)&gt;0,VLOOKUP(B113,Start!A$253:F$273,3,FALSE)/100*Start!$B$4,VLOOKUP(WEEKDAY(B113,2),Start!A$240:F$246,4,FALSE))),"")</f>
        <v/>
      </c>
      <c r="D113" t="str">
        <f>IFERROR(IF(OR(U113="Fri",U113="Ferie",U113="Syk",U113="Omsorg",B113&lt;Start!$F$7),0,IF(IFERROR(MATCH(B113,Start!A$253:A$273,0),0)&gt;0,VLOOKUP(B113,Start!A$253:F$273,3,FALSE)/100*Start!$F$4,VLOOKUP(WEEKDAY(B113,2),Start!A$240:F$246,6,FALSE))),"")</f>
        <v/>
      </c>
      <c r="E113">
        <f t="shared" ca="1" si="100"/>
        <v>0</v>
      </c>
      <c r="F113">
        <f>IFERROR(IF(YEAR(B113)=Start!$B$1,MONTH(B113),""),"")</f>
        <v>2</v>
      </c>
      <c r="G113" s="64" t="str">
        <f>IFERROR(VLOOKUP(B113,Start!A$111:B$273,2,FALSE),"")</f>
        <v/>
      </c>
      <c r="H113" s="21"/>
      <c r="I113" s="78">
        <v>0.33333333333333331</v>
      </c>
      <c r="J113" s="78">
        <v>0.33333333333333331</v>
      </c>
      <c r="K113" s="1" t="str">
        <f>IF(Start!$B$6="Ja","",IF(((J113-I113)*24)&gt;=5.5,"X",""))</f>
        <v/>
      </c>
      <c r="L113" s="1" t="str">
        <f>IF(_xlfn.IFNA(MATCH($A111,Start!$H$3:$H$11,0),0)&gt;0,"Ferie",IFERROR(IF(VLOOKUP(B113,Start!A$165:B$234,2,FALSE)&gt;0,"Fri",0),IF(AND((J113-I113)=0,Z113=""),"",MAX((IF(K113="X",(J113-I113)*24-0.5,(J113-I113)*24)),Z113))))</f>
        <v/>
      </c>
      <c r="M113" s="58"/>
      <c r="N113" s="21" t="str">
        <f t="shared" si="110"/>
        <v/>
      </c>
      <c r="O113" s="21" t="str">
        <f t="shared" si="111"/>
        <v/>
      </c>
      <c r="P113" s="2"/>
      <c r="Q113" s="21"/>
      <c r="R113" s="78">
        <v>0.33333333333333331</v>
      </c>
      <c r="S113" s="78">
        <v>0.33333333333333331</v>
      </c>
      <c r="T113" s="1" t="str">
        <f>IF(Start!$B$6="Ja","",IF(((S113-R113)*24)&gt;=5.5,"X",""))</f>
        <v/>
      </c>
      <c r="U113" s="1" t="str">
        <f>IF(_xlfn.IFNA(MATCH($A$15,Start!$H$3:$H$11,0),0)&gt;0,"Ferie",(IF(L113="fri","Fri",(IF(L113="syk","Syk",IF(L113="Ferie","Ferie",IF(AND((S113-R113)=0,AB113=""),"",MAX((IF(T113="X",(S113-R113)*24-0.5,(S113-R113)*24)),AB113))))))))</f>
        <v/>
      </c>
      <c r="V113" s="58"/>
      <c r="W113" s="21" t="str">
        <f t="shared" si="112"/>
        <v/>
      </c>
      <c r="X113" s="21" t="str">
        <f t="shared" si="113"/>
        <v/>
      </c>
      <c r="Z113" s="70" t="str">
        <f>IF(SUMIFS(TrackingTime!H:H,TrackingTime!F:F,Timer!B113,TrackingTime!C:C,"Hovedkontoret")&gt;0,SUMIFS(TrackingTime!H:H,TrackingTime!F:F,Timer!B113,TrackingTime!C:C,"Hovedkontoret"),"")</f>
        <v/>
      </c>
      <c r="AA113" s="71" t="str">
        <f t="shared" si="69"/>
        <v/>
      </c>
      <c r="AB113" t="str">
        <f>IF(SUMIFS(TrackingTime!H:H,TrackingTime!F:F,Timer!B113,TrackingTime!C:C,Start!$F$3)&gt;0,SUMIFS(TrackingTime!H:H,TrackingTime!F:F,Timer!B113,TrackingTime!C:C,Start!$F$3),"")</f>
        <v/>
      </c>
      <c r="AC113" s="71" t="str">
        <f t="shared" si="72"/>
        <v/>
      </c>
    </row>
    <row r="114" spans="1:29" x14ac:dyDescent="0.25">
      <c r="A114" s="15"/>
      <c r="B114" s="63">
        <f t="shared" si="114"/>
        <v>46079</v>
      </c>
      <c r="C114" t="str">
        <f>IFERROR(IF(OR(L114="Fri",L114="Ferie",L114="Syk",L114="Omsorg",B114&lt;Start!$B$7),0,IF(IFERROR(MATCH(B114,Start!A$253:A$273,0),0)&gt;0,VLOOKUP(B114,Start!A$253:F$273,3,FALSE)/100*Start!$B$4,VLOOKUP(WEEKDAY(B114,2),Start!A$240:F$246,4,FALSE))),"")</f>
        <v/>
      </c>
      <c r="D114" t="str">
        <f>IFERROR(IF(OR(U114="Fri",U114="Ferie",U114="Syk",U114="Omsorg",B114&lt;Start!$F$7),0,IF(IFERROR(MATCH(B114,Start!A$253:A$273,0),0)&gt;0,VLOOKUP(B114,Start!A$253:F$273,3,FALSE)/100*Start!$F$4,VLOOKUP(WEEKDAY(B114,2),Start!A$240:F$246,6,FALSE))),"")</f>
        <v/>
      </c>
      <c r="E114">
        <f t="shared" ca="1" si="100"/>
        <v>0</v>
      </c>
      <c r="F114">
        <f>IFERROR(IF(YEAR(B114)=Start!$B$1,MONTH(B114),""),"")</f>
        <v>2</v>
      </c>
      <c r="G114" s="64" t="str">
        <f>IFERROR(VLOOKUP(B114,Start!A$111:B$273,2,FALSE),"")</f>
        <v/>
      </c>
      <c r="H114" s="21"/>
      <c r="I114" s="78">
        <v>0.33333333333333331</v>
      </c>
      <c r="J114" s="78">
        <v>0.33333333333333331</v>
      </c>
      <c r="K114" s="1" t="str">
        <f>IF(Start!$B$6="Ja","",IF(((J114-I114)*24)&gt;=5.5,"X",""))</f>
        <v/>
      </c>
      <c r="L114" s="1" t="str">
        <f>IF(_xlfn.IFNA(MATCH($A111,Start!$H$3:$H$11,0),0)&gt;0,"Ferie",IFERROR(IF(VLOOKUP(B114,Start!A$165:B$234,2,FALSE)&gt;0,"Fri",0),IF(AND((J114-I114)=0,Z114=""),"",MAX((IF(K114="X",(J114-I114)*24-0.5,(J114-I114)*24)),Z114))))</f>
        <v/>
      </c>
      <c r="M114" s="58"/>
      <c r="N114" s="21" t="str">
        <f t="shared" si="110"/>
        <v/>
      </c>
      <c r="O114" s="21" t="str">
        <f t="shared" si="111"/>
        <v/>
      </c>
      <c r="P114" s="2"/>
      <c r="Q114" s="21"/>
      <c r="R114" s="78">
        <v>0.33333333333333331</v>
      </c>
      <c r="S114" s="78">
        <v>0.33333333333333331</v>
      </c>
      <c r="T114" s="1" t="str">
        <f>IF(Start!$B$6="Ja","",IF(((S114-R114)*24)&gt;=5.5,"X",""))</f>
        <v/>
      </c>
      <c r="U114" s="1" t="str">
        <f>IF(_xlfn.IFNA(MATCH($A$15,Start!$H$3:$H$11,0),0)&gt;0,"Ferie",(IF(L114="fri","Fri",(IF(L114="syk","Syk",IF(L114="Ferie","Ferie",IF(AND((S114-R114)=0,AB114=""),"",MAX((IF(T114="X",(S114-R114)*24-0.5,(S114-R114)*24)),AB114))))))))</f>
        <v/>
      </c>
      <c r="V114" s="58"/>
      <c r="W114" s="21" t="str">
        <f t="shared" si="112"/>
        <v/>
      </c>
      <c r="X114" s="21" t="str">
        <f t="shared" si="113"/>
        <v/>
      </c>
      <c r="Z114" s="70" t="str">
        <f>IF(SUMIFS(TrackingTime!H:H,TrackingTime!F:F,Timer!B114,TrackingTime!C:C,"Hovedkontoret")&gt;0,SUMIFS(TrackingTime!H:H,TrackingTime!F:F,Timer!B114,TrackingTime!C:C,"Hovedkontoret"),"")</f>
        <v/>
      </c>
      <c r="AA114" s="71" t="str">
        <f t="shared" si="69"/>
        <v/>
      </c>
      <c r="AB114" t="str">
        <f>IF(SUMIFS(TrackingTime!H:H,TrackingTime!F:F,Timer!B114,TrackingTime!C:C,Start!$F$3)&gt;0,SUMIFS(TrackingTime!H:H,TrackingTime!F:F,Timer!B114,TrackingTime!C:C,Start!$F$3),"")</f>
        <v/>
      </c>
      <c r="AC114" s="71" t="str">
        <f t="shared" si="72"/>
        <v/>
      </c>
    </row>
    <row r="115" spans="1:29" x14ac:dyDescent="0.25">
      <c r="A115" s="15"/>
      <c r="B115" s="63">
        <f t="shared" si="114"/>
        <v>46080</v>
      </c>
      <c r="C115" t="str">
        <f>IFERROR(IF(OR(L115="Fri",L115="Ferie",L115="Syk",L115="Omsorg",B115&lt;Start!$B$7),0,IF(IFERROR(MATCH(B115,Start!A$253:A$273,0),0)&gt;0,VLOOKUP(B115,Start!A$253:F$273,3,FALSE)/100*Start!$B$4,VLOOKUP(WEEKDAY(B115,2),Start!A$240:F$246,4,FALSE))),"")</f>
        <v/>
      </c>
      <c r="D115" t="str">
        <f>IFERROR(IF(OR(U115="Fri",U115="Ferie",U115="Syk",U115="Omsorg",B115&lt;Start!$F$7),0,IF(IFERROR(MATCH(B115,Start!A$253:A$273,0),0)&gt;0,VLOOKUP(B115,Start!A$253:F$273,3,FALSE)/100*Start!$F$4,VLOOKUP(WEEKDAY(B115,2),Start!A$240:F$246,6,FALSE))),"")</f>
        <v/>
      </c>
      <c r="E115">
        <f t="shared" ca="1" si="100"/>
        <v>0</v>
      </c>
      <c r="F115">
        <f>IFERROR(IF(YEAR(B115)=Start!$B$1,MONTH(B115),""),"")</f>
        <v>2</v>
      </c>
      <c r="G115" s="64" t="str">
        <f>IFERROR(VLOOKUP(B115,Start!A$111:B$273,2,FALSE),"")</f>
        <v/>
      </c>
      <c r="H115" s="21"/>
      <c r="I115" s="78">
        <v>0.33333333333333331</v>
      </c>
      <c r="J115" s="78">
        <v>0.33333333333333331</v>
      </c>
      <c r="K115" s="1" t="str">
        <f>IF(Start!$B$6="Ja","",IF(((J115-I115)*24)&gt;=5.5,"X",""))</f>
        <v/>
      </c>
      <c r="L115" s="1" t="str">
        <f>IF(_xlfn.IFNA(MATCH($A111,Start!$H$3:$H$11,0),0)&gt;0,"Ferie",IFERROR(IF(VLOOKUP(B115,Start!A$165:B$234,2,FALSE)&gt;0,"Fri",0),IF(AND((J115-I115)=0,Z115=""),"",MAX((IF(K115="X",(J115-I115)*24-0.5,(J115-I115)*24)),Z115))))</f>
        <v/>
      </c>
      <c r="M115" s="58"/>
      <c r="N115" s="21" t="str">
        <f t="shared" si="110"/>
        <v/>
      </c>
      <c r="O115" s="21" t="str">
        <f t="shared" si="111"/>
        <v/>
      </c>
      <c r="P115" s="2"/>
      <c r="Q115" s="21"/>
      <c r="R115" s="78">
        <v>0.33333333333333331</v>
      </c>
      <c r="S115" s="78">
        <v>0.33333333333333331</v>
      </c>
      <c r="T115" s="1" t="str">
        <f>IF(Start!$B$6="Ja","",IF(((S115-R115)*24)&gt;=5.5,"X",""))</f>
        <v/>
      </c>
      <c r="U115" s="1" t="str">
        <f>IF(_xlfn.IFNA(MATCH($A$15,Start!$H$3:$H$11,0),0)&gt;0,"Ferie",(IF(L115="fri","Fri",(IF(L115="syk","Syk",IF(L115="Ferie","Ferie",IF(AND((S115-R115)=0,AB115=""),"",MAX((IF(T115="X",(S115-R115)*24-0.5,(S115-R115)*24)),AB115))))))))</f>
        <v/>
      </c>
      <c r="V115" s="58"/>
      <c r="W115" s="21" t="str">
        <f t="shared" si="112"/>
        <v/>
      </c>
      <c r="X115" s="21" t="str">
        <f t="shared" si="113"/>
        <v/>
      </c>
      <c r="Z115" s="70" t="str">
        <f>IF(SUMIFS(TrackingTime!H:H,TrackingTime!F:F,Timer!B115,TrackingTime!C:C,"Hovedkontoret")&gt;0,SUMIFS(TrackingTime!H:H,TrackingTime!F:F,Timer!B115,TrackingTime!C:C,"Hovedkontoret"),"")</f>
        <v/>
      </c>
      <c r="AA115" s="71" t="str">
        <f t="shared" si="69"/>
        <v/>
      </c>
      <c r="AB115" t="str">
        <f>IF(SUMIFS(TrackingTime!H:H,TrackingTime!F:F,Timer!B115,TrackingTime!C:C,Start!$F$3)&gt;0,SUMIFS(TrackingTime!H:H,TrackingTime!F:F,Timer!B115,TrackingTime!C:C,Start!$F$3),"")</f>
        <v/>
      </c>
      <c r="AC115" s="71" t="str">
        <f t="shared" si="72"/>
        <v/>
      </c>
    </row>
    <row r="116" spans="1:29" x14ac:dyDescent="0.25">
      <c r="A116" s="15"/>
      <c r="B116" s="63">
        <f t="shared" si="114"/>
        <v>46081</v>
      </c>
      <c r="C116">
        <f>IFERROR(IF(OR(L116="Fri",L116="Ferie",L116="Syk",L116="Omsorg",B116&lt;Start!$B$7),0,IF(IFERROR(MATCH(B116,Start!A$253:A$273,0),0)&gt;0,VLOOKUP(B116,Start!A$253:F$273,3,FALSE)/100*Start!$B$4,VLOOKUP(WEEKDAY(B116,2),Start!A$240:F$246,4,FALSE))),"")</f>
        <v>0</v>
      </c>
      <c r="D116">
        <f>IFERROR(IF(OR(U116="Fri",U116="Ferie",U116="Syk",U116="Omsorg",B116&lt;Start!$F$7),0,IF(IFERROR(MATCH(B116,Start!A$253:A$273,0),0)&gt;0,VLOOKUP(B116,Start!A$253:F$273,3,FALSE)/100*Start!$F$4,VLOOKUP(WEEKDAY(B116,2),Start!A$240:F$246,6,FALSE))),"")</f>
        <v>0</v>
      </c>
      <c r="E116">
        <f t="shared" ca="1" si="100"/>
        <v>0</v>
      </c>
      <c r="F116">
        <f>IFERROR(IF(YEAR(B116)=Start!$B$1,MONTH(B116),""),"")</f>
        <v>2</v>
      </c>
      <c r="G116" s="64" t="str">
        <f>IFERROR(VLOOKUP(B116,Start!A$111:B$273,2,FALSE),"")</f>
        <v/>
      </c>
      <c r="H116" s="21"/>
      <c r="I116" s="78">
        <v>0.41666666666666669</v>
      </c>
      <c r="J116" s="78">
        <v>0.41666666666666669</v>
      </c>
      <c r="K116" s="1" t="str">
        <f>IF(Start!$B$6="Ja","",IF(((J116-I116)*24)&gt;=5.5,"X",""))</f>
        <v/>
      </c>
      <c r="L116" s="1" t="str">
        <f t="shared" ref="L116:L117" si="115">IF(AND((J116-I116)=0,Z116=""),"",MAX((IF(K116="X",(J116-I116)*24-0.5,(J116-I116)*24)),Z116))</f>
        <v/>
      </c>
      <c r="M116" s="58"/>
      <c r="N116" s="21" t="str">
        <f t="shared" si="110"/>
        <v/>
      </c>
      <c r="O116" s="21" t="str">
        <f t="shared" si="111"/>
        <v/>
      </c>
      <c r="P116" s="2"/>
      <c r="Q116" s="21"/>
      <c r="R116" s="78">
        <v>0.41666666666666669</v>
      </c>
      <c r="S116" s="78">
        <v>0.41666666666666669</v>
      </c>
      <c r="T116" s="1" t="str">
        <f>IF(Start!$B$6="Ja","",IF(((S116-R116)*24)&gt;=5.5,"X",""))</f>
        <v/>
      </c>
      <c r="U116" s="1" t="str">
        <f t="shared" ref="U116:U117" si="116">IF(AND((S116-R116)=0,AB116=""),"",MAX((IF(T116="X",(S116-R116)*24-0.5,(S116-R116)*24)),AB116))</f>
        <v/>
      </c>
      <c r="V116" s="58"/>
      <c r="W116" s="21" t="str">
        <f t="shared" si="112"/>
        <v/>
      </c>
      <c r="X116" s="21" t="str">
        <f t="shared" si="113"/>
        <v/>
      </c>
      <c r="Z116" s="70" t="str">
        <f>IF(SUMIFS(TrackingTime!H:H,TrackingTime!F:F,Timer!B116,TrackingTime!C:C,"Hovedkontoret")&gt;0,SUMIFS(TrackingTime!H:H,TrackingTime!F:F,Timer!B116,TrackingTime!C:C,"Hovedkontoret"),"")</f>
        <v/>
      </c>
      <c r="AA116" s="71" t="str">
        <f t="shared" si="69"/>
        <v/>
      </c>
      <c r="AB116" t="str">
        <f>IF(SUMIFS(TrackingTime!H:H,TrackingTime!F:F,Timer!B116,TrackingTime!C:C,Start!$F$3)&gt;0,SUMIFS(TrackingTime!H:H,TrackingTime!F:F,Timer!B116,TrackingTime!C:C,Start!$F$3),"")</f>
        <v/>
      </c>
      <c r="AC116" s="71" t="str">
        <f t="shared" si="72"/>
        <v/>
      </c>
    </row>
    <row r="117" spans="1:29" x14ac:dyDescent="0.25">
      <c r="A117" s="15"/>
      <c r="B117" s="63">
        <f t="shared" si="114"/>
        <v>46082</v>
      </c>
      <c r="C117">
        <f>IFERROR(IF(OR(L117="Fri",L117="Ferie",L117="Syk",L117="Omsorg",B117&lt;Start!$B$7),0,IF(IFERROR(MATCH(B117,Start!A$253:A$273,0),0)&gt;0,VLOOKUP(B117,Start!A$253:F$273,3,FALSE)/100*Start!$B$4,VLOOKUP(WEEKDAY(B117,2),Start!A$240:F$246,4,FALSE))),"")</f>
        <v>0</v>
      </c>
      <c r="D117">
        <f>IFERROR(IF(OR(U117="Fri",U117="Ferie",U117="Syk",U117="Omsorg",B117&lt;Start!$F$7),0,IF(IFERROR(MATCH(B117,Start!A$253:A$273,0),0)&gt;0,VLOOKUP(B117,Start!A$253:F$273,3,FALSE)/100*Start!$F$4,VLOOKUP(WEEKDAY(B117,2),Start!A$240:F$246,6,FALSE))),"")</f>
        <v>0</v>
      </c>
      <c r="E117">
        <f t="shared" ca="1" si="100"/>
        <v>0</v>
      </c>
      <c r="F117">
        <f>IFERROR(IF(YEAR(B117)=Start!$B$1,MONTH(B117),""),"")</f>
        <v>3</v>
      </c>
      <c r="G117" s="64" t="str">
        <f>IFERROR(VLOOKUP(B117,Start!A$111:B$273,2,FALSE),"")</f>
        <v/>
      </c>
      <c r="H117" s="25"/>
      <c r="I117" s="78">
        <v>0.41666666666666669</v>
      </c>
      <c r="J117" s="78">
        <v>0.41666666666666669</v>
      </c>
      <c r="K117" s="1" t="str">
        <f>IF(Start!$B$6="Ja","",IF(((J117-I117)*24)&gt;=5.5,"X",""))</f>
        <v/>
      </c>
      <c r="L117" s="1" t="str">
        <f t="shared" si="115"/>
        <v/>
      </c>
      <c r="M117" s="58"/>
      <c r="N117" s="21" t="str">
        <f t="shared" si="110"/>
        <v/>
      </c>
      <c r="O117" s="21" t="str">
        <f t="shared" si="111"/>
        <v/>
      </c>
      <c r="Q117" s="25"/>
      <c r="R117" s="78">
        <v>0.41666666666666669</v>
      </c>
      <c r="S117" s="78">
        <v>0.41666666666666669</v>
      </c>
      <c r="T117" s="1" t="str">
        <f>IF(Start!$B$6="Ja","",IF(((S117-R117)*24)&gt;=5.5,"X",""))</f>
        <v/>
      </c>
      <c r="U117" s="1" t="str">
        <f t="shared" si="116"/>
        <v/>
      </c>
      <c r="V117" s="58"/>
      <c r="W117" s="21" t="str">
        <f t="shared" si="112"/>
        <v/>
      </c>
      <c r="X117" s="21" t="str">
        <f t="shared" si="113"/>
        <v/>
      </c>
      <c r="Z117" s="70" t="str">
        <f>IF(SUMIFS(TrackingTime!H:H,TrackingTime!F:F,Timer!B117,TrackingTime!C:C,"Hovedkontoret")&gt;0,SUMIFS(TrackingTime!H:H,TrackingTime!F:F,Timer!B117,TrackingTime!C:C,"Hovedkontoret"),"")</f>
        <v/>
      </c>
      <c r="AA117" s="71" t="str">
        <f t="shared" si="69"/>
        <v/>
      </c>
      <c r="AB117" t="str">
        <f>IF(SUMIFS(TrackingTime!H:H,TrackingTime!F:F,Timer!B117,TrackingTime!C:C,Start!$F$3)&gt;0,SUMIFS(TrackingTime!H:H,TrackingTime!F:F,Timer!B117,TrackingTime!C:C,Start!$F$3),"")</f>
        <v/>
      </c>
      <c r="AC117" s="71" t="str">
        <f t="shared" si="72"/>
        <v/>
      </c>
    </row>
    <row r="118" spans="1:29" x14ac:dyDescent="0.25">
      <c r="A118" s="15"/>
      <c r="B118" s="4" t="s">
        <v>11</v>
      </c>
      <c r="C118" s="24"/>
      <c r="D118" s="24"/>
      <c r="E118" s="24">
        <f t="shared" ca="1" si="100"/>
        <v>0</v>
      </c>
      <c r="F118" s="24" t="str">
        <f>IFERROR(IF(YEAR(B118)=Start!$B$1,MONTH(B118),""),"")</f>
        <v/>
      </c>
      <c r="G118" s="64" t="str">
        <f>IFERROR(VLOOKUP(B118,Start!A$111:B$273,2,FALSE),"")</f>
        <v/>
      </c>
      <c r="H118" s="4"/>
      <c r="I118" s="4"/>
      <c r="J118" s="4"/>
      <c r="K118" s="4"/>
      <c r="L118" s="5">
        <f t="shared" si="86"/>
        <v>0</v>
      </c>
      <c r="N118" s="24"/>
      <c r="O118" s="39">
        <f t="shared" ref="O118" si="117">SUM(O111:O117)</f>
        <v>0</v>
      </c>
      <c r="P118" s="40"/>
      <c r="Q118" s="41"/>
      <c r="R118" s="4"/>
      <c r="S118" s="4"/>
      <c r="T118" s="4"/>
      <c r="U118" s="5">
        <f t="shared" ref="U118" si="118">SUM($U111:$U117)</f>
        <v>0</v>
      </c>
      <c r="V118" s="58"/>
      <c r="W118" s="39"/>
      <c r="X118" s="39">
        <f t="shared" si="105"/>
        <v>0</v>
      </c>
      <c r="Z118" s="70" t="str">
        <f>IF(SUMIFS(TrackingTime!H:H,TrackingTime!F:F,Timer!B118,TrackingTime!C:C,"Hovedkontoret")&gt;0,SUMIFS(TrackingTime!H:H,TrackingTime!F:F,Timer!B118,TrackingTime!C:C,"Hovedkontoret"),"")</f>
        <v/>
      </c>
      <c r="AA118" s="71" t="str">
        <f t="shared" si="69"/>
        <v/>
      </c>
      <c r="AB118" t="str">
        <f>IF(SUMIFS(TrackingTime!H:H,TrackingTime!F:F,Timer!B118,TrackingTime!C:C,Start!$F$3)&gt;0,SUMIFS(TrackingTime!H:H,TrackingTime!F:F,Timer!B118,TrackingTime!C:C,Start!$F$3),"")</f>
        <v/>
      </c>
      <c r="AC118" s="71" t="str">
        <f t="shared" si="72"/>
        <v/>
      </c>
    </row>
    <row r="119" spans="1:29" x14ac:dyDescent="0.25">
      <c r="A119" s="15"/>
      <c r="B119" t="s">
        <v>90</v>
      </c>
      <c r="E119">
        <f t="shared" ca="1" si="100"/>
        <v>0</v>
      </c>
      <c r="F119" t="str">
        <f>IFERROR(IF(YEAR(B119)=Start!$B$1,MONTH(B119),""),"")</f>
        <v/>
      </c>
      <c r="G119" s="64" t="str">
        <f>IFERROR(VLOOKUP(B119,Start!A$111:B$273,2,FALSE),"")</f>
        <v/>
      </c>
      <c r="L119" s="1">
        <f t="shared" si="89"/>
        <v>0</v>
      </c>
      <c r="M119" s="1"/>
      <c r="N119" s="1"/>
      <c r="O119" s="21">
        <f t="shared" ref="O119" si="119">L119</f>
        <v>0</v>
      </c>
      <c r="P119" s="40"/>
      <c r="Q119" s="21"/>
      <c r="U119" s="1">
        <f t="shared" ref="U119" si="120">SUMIFS(D111:D117,F111:F117,"&gt;0")</f>
        <v>0</v>
      </c>
      <c r="V119" s="1"/>
      <c r="W119" s="1"/>
      <c r="X119" s="21">
        <f>U119</f>
        <v>0</v>
      </c>
      <c r="Z119" s="70" t="str">
        <f>IF(SUMIFS(TrackingTime!H:H,TrackingTime!F:F,Timer!B119,TrackingTime!C:C,"Hovedkontoret")&gt;0,SUMIFS(TrackingTime!H:H,TrackingTime!F:F,Timer!B119,TrackingTime!C:C,"Hovedkontoret"),"")</f>
        <v/>
      </c>
      <c r="AA119" s="71" t="str">
        <f t="shared" si="69"/>
        <v/>
      </c>
      <c r="AB119" t="str">
        <f>IF(SUMIFS(TrackingTime!H:H,TrackingTime!F:F,Timer!B119,TrackingTime!C:C,Start!$F$3)&gt;0,SUMIFS(TrackingTime!H:H,TrackingTime!F:F,Timer!B119,TrackingTime!C:C,Start!$F$3),"")</f>
        <v/>
      </c>
      <c r="AC119" s="71" t="str">
        <f t="shared" si="72"/>
        <v/>
      </c>
    </row>
    <row r="120" spans="1:29" x14ac:dyDescent="0.25">
      <c r="A120" s="16">
        <f>B117-B111-1</f>
        <v>5</v>
      </c>
      <c r="B120" t="s">
        <v>117</v>
      </c>
      <c r="E120">
        <f t="shared" ca="1" si="100"/>
        <v>0</v>
      </c>
      <c r="F120" t="str">
        <f>IFERROR(IF(YEAR(B120)=Start!$B$1,MONTH(B120),""),"")</f>
        <v/>
      </c>
      <c r="G120" s="64" t="str">
        <f>IFERROR(VLOOKUP(B120,Start!A$111:B$273,2,FALSE),"")</f>
        <v/>
      </c>
      <c r="L120" s="77">
        <f t="shared" ca="1" si="92"/>
        <v>0</v>
      </c>
      <c r="O120" s="21">
        <f t="shared" ref="O120" si="121">O118-O119</f>
        <v>0</v>
      </c>
      <c r="P120" s="21"/>
      <c r="Q120" s="21"/>
      <c r="U120" s="1">
        <f t="shared" ref="U120" ca="1" si="122">U118-U119*(IF(NETWORKDAYS($B111,TODAY())&lt;0,0,IF(NETWORKDAYS($B111,TODAY())&lt;=$A120,NETWORKDAYS($B111,TODAY()),$A120)))/$A120</f>
        <v>0</v>
      </c>
      <c r="V120" s="58"/>
      <c r="W120" s="21"/>
      <c r="X120" s="21">
        <f>X118-X119</f>
        <v>0</v>
      </c>
      <c r="Z120" s="70" t="str">
        <f>IF(SUMIFS(TrackingTime!H:H,TrackingTime!F:F,Timer!B120,TrackingTime!C:C,"Hovedkontoret")&gt;0,SUMIFS(TrackingTime!H:H,TrackingTime!F:F,Timer!B120,TrackingTime!C:C,"Hovedkontoret"),"")</f>
        <v/>
      </c>
      <c r="AA120" s="71" t="str">
        <f t="shared" si="69"/>
        <v/>
      </c>
      <c r="AB120" t="str">
        <f>IF(SUMIFS(TrackingTime!H:H,TrackingTime!F:F,Timer!B120,TrackingTime!C:C,Start!$F$3)&gt;0,SUMIFS(TrackingTime!H:H,TrackingTime!F:F,Timer!B120,TrackingTime!C:C,Start!$F$3),"")</f>
        <v/>
      </c>
      <c r="AC120" s="71" t="str">
        <f t="shared" si="72"/>
        <v/>
      </c>
    </row>
    <row r="121" spans="1:29" x14ac:dyDescent="0.25">
      <c r="A121" s="15"/>
      <c r="E121">
        <f t="shared" ca="1" si="100"/>
        <v>1</v>
      </c>
      <c r="F121" t="str">
        <f>IFERROR(IF(YEAR(B121)=Start!$B$1,MONTH(B121),""),"")</f>
        <v/>
      </c>
      <c r="G121" s="64" t="str">
        <f>IFERROR(VLOOKUP(B121,Start!A$111:B$273,2,FALSE),"")</f>
        <v/>
      </c>
      <c r="O121" s="2"/>
      <c r="P121" s="2"/>
      <c r="U121" s="1"/>
      <c r="V121" s="7"/>
      <c r="X121" s="2"/>
      <c r="Z121" s="70" t="str">
        <f>IF(SUMIFS(TrackingTime!H:H,TrackingTime!F:F,Timer!B121,TrackingTime!C:C,"Hovedkontoret")&gt;0,SUMIFS(TrackingTime!H:H,TrackingTime!F:F,Timer!B121,TrackingTime!C:C,"Hovedkontoret"),"")</f>
        <v/>
      </c>
      <c r="AA121" s="71" t="str">
        <f t="shared" si="69"/>
        <v/>
      </c>
      <c r="AB121" t="str">
        <f>IF(SUMIFS(TrackingTime!H:H,TrackingTime!F:F,Timer!B121,TrackingTime!C:C,Start!$F$3)&gt;0,SUMIFS(TrackingTime!H:H,TrackingTime!F:F,Timer!B121,TrackingTime!C:C,Start!$F$3),"")</f>
        <v/>
      </c>
      <c r="AC121" s="71" t="str">
        <f t="shared" si="72"/>
        <v/>
      </c>
    </row>
    <row r="122" spans="1:29" x14ac:dyDescent="0.25">
      <c r="A122" s="2" t="s">
        <v>82</v>
      </c>
      <c r="B122" s="14" t="s">
        <v>83</v>
      </c>
      <c r="E122">
        <f t="shared" ca="1" si="100"/>
        <v>0</v>
      </c>
      <c r="F122" t="str">
        <f>IFERROR(IF(YEAR(B122)=Start!$B$1,MONTH(B122),""),"")</f>
        <v/>
      </c>
      <c r="G122" s="64" t="str">
        <f>IFERROR(VLOOKUP(B122,Start!A$111:B$273,2,FALSE),"")</f>
        <v/>
      </c>
      <c r="H122" s="2" t="s">
        <v>86</v>
      </c>
      <c r="I122" s="2" t="s">
        <v>125</v>
      </c>
      <c r="J122" s="2" t="s">
        <v>126</v>
      </c>
      <c r="K122" s="2" t="s">
        <v>127</v>
      </c>
      <c r="L122" s="3" t="s">
        <v>87</v>
      </c>
      <c r="M122" s="6"/>
      <c r="N122" s="2" t="s">
        <v>88</v>
      </c>
      <c r="O122" s="2" t="s">
        <v>89</v>
      </c>
      <c r="P122" s="2"/>
      <c r="Q122" s="2" t="s">
        <v>86</v>
      </c>
      <c r="R122" s="2" t="s">
        <v>125</v>
      </c>
      <c r="S122" s="2" t="s">
        <v>126</v>
      </c>
      <c r="T122" s="2" t="s">
        <v>127</v>
      </c>
      <c r="U122" s="3" t="s">
        <v>87</v>
      </c>
      <c r="V122" s="6"/>
      <c r="W122" s="2" t="s">
        <v>88</v>
      </c>
      <c r="X122" s="2" t="s">
        <v>89</v>
      </c>
      <c r="Z122" s="70" t="str">
        <f>IF(SUMIFS(TrackingTime!H:H,TrackingTime!F:F,Timer!B122,TrackingTime!C:C,"Hovedkontoret")&gt;0,SUMIFS(TrackingTime!H:H,TrackingTime!F:F,Timer!B122,TrackingTime!C:C,"Hovedkontoret"),"")</f>
        <v/>
      </c>
      <c r="AA122" s="71" t="str">
        <f t="shared" si="69"/>
        <v/>
      </c>
      <c r="AB122" t="str">
        <f>IF(SUMIFS(TrackingTime!H:H,TrackingTime!F:F,Timer!B122,TrackingTime!C:C,Start!$F$3)&gt;0,SUMIFS(TrackingTime!H:H,TrackingTime!F:F,Timer!B122,TrackingTime!C:C,Start!$F$3),"")</f>
        <v/>
      </c>
      <c r="AC122" s="71" t="str">
        <f t="shared" si="72"/>
        <v/>
      </c>
    </row>
    <row r="123" spans="1:29" x14ac:dyDescent="0.25">
      <c r="A123" s="15">
        <f>WEEKNUM(B123,21)</f>
        <v>10</v>
      </c>
      <c r="B123" s="63">
        <f>B117+(DAY(1))</f>
        <v>46083</v>
      </c>
      <c r="C123" t="str">
        <f>IFERROR(IF(OR(L123="Fri",L123="Ferie",L123="Syk",L123="Omsorg",B123&lt;Start!$B$7),0,IF(IFERROR(MATCH(B123,Start!A$253:A$273,0),0)&gt;0,VLOOKUP(B123,Start!A$253:F$273,3,FALSE)/100*Start!$B$4,VLOOKUP(WEEKDAY(B123,2),Start!A$240:F$246,4,FALSE))),"")</f>
        <v/>
      </c>
      <c r="D123" t="str">
        <f>IFERROR(IF(OR(U123="Fri",U123="Ferie",U123="Syk",U123="Omsorg",B123&lt;Start!$F$7),0,IF(IFERROR(MATCH(B123,Start!A$253:A$273,0),0)&gt;0,VLOOKUP(B123,Start!A$253:F$273,3,FALSE)/100*Start!$F$4,VLOOKUP(WEEKDAY(B123,2),Start!A$240:F$246,6,FALSE))),"")</f>
        <v/>
      </c>
      <c r="E123">
        <f t="shared" ca="1" si="100"/>
        <v>0</v>
      </c>
      <c r="F123">
        <f>IFERROR(IF(YEAR(B123)=Start!$B$1,MONTH(B123),""),"")</f>
        <v>3</v>
      </c>
      <c r="G123" s="64" t="str">
        <f>IFERROR(VLOOKUP(B123,Start!A$111:B$273,2,FALSE),"")</f>
        <v/>
      </c>
      <c r="H123" s="21"/>
      <c r="I123" s="78">
        <v>0.33333333333333331</v>
      </c>
      <c r="J123" s="78">
        <v>0.33333333333333331</v>
      </c>
      <c r="K123" s="1" t="str">
        <f>IF(Start!$B$6="Ja","",IF(((J123-I123)*24)&gt;=5.5,"X",""))</f>
        <v/>
      </c>
      <c r="L123" s="1" t="str">
        <f>IF(_xlfn.IFNA(MATCH($A123,Start!$H$3:$H$11,0),0)&gt;0,"Ferie",IFERROR(IF(VLOOKUP(B123,Start!A$165:B$234,2,FALSE)&gt;0,"Fri",0),IF(AND((J123-I123)=0,Z123=""),"",MAX((IF(K123="X",(J123-I123)*24-0.5,(J123-I123)*24)),Z123))))</f>
        <v/>
      </c>
      <c r="M123" s="58"/>
      <c r="N123" s="21" t="str">
        <f t="shared" ref="N123:N129" si="123">IF(H123=0,"",H123)</f>
        <v/>
      </c>
      <c r="O123" s="21" t="str">
        <f t="shared" ref="O123:O129" si="124">IF(L123=0,"",L123)</f>
        <v/>
      </c>
      <c r="P123" s="2"/>
      <c r="Q123" s="21"/>
      <c r="R123" s="78">
        <v>0.33333333333333331</v>
      </c>
      <c r="S123" s="78">
        <v>0.33333333333333331</v>
      </c>
      <c r="T123" s="1" t="str">
        <f>IF(Start!$B$6="Ja","",IF(((S123-R123)*24)&gt;=5.5,"X",""))</f>
        <v/>
      </c>
      <c r="U123" s="1" t="str">
        <f>IF(_xlfn.IFNA(MATCH($A$15,Start!$H$3:$H$11,0),0)&gt;0,"Ferie",(IF(L123="fri","Fri",(IF(L123="syk","Syk",IF(L123="Ferie","Ferie",IF(AND((S123-R123)=0,AB123=""),"",MAX((IF(T123="X",(S123-R123)*24-0.5,(S123-R123)*24)),AB123))))))))</f>
        <v/>
      </c>
      <c r="V123" s="58"/>
      <c r="W123" s="21" t="str">
        <f t="shared" ref="W123:W129" si="125">IF(Q123=0,"",Q123)</f>
        <v/>
      </c>
      <c r="X123" s="21" t="str">
        <f t="shared" ref="X123:X129" si="126">IF(U123=0,"",U123)</f>
        <v/>
      </c>
      <c r="Z123" s="70" t="str">
        <f>IF(SUMIFS(TrackingTime!H:H,TrackingTime!F:F,Timer!B123,TrackingTime!C:C,"Hovedkontoret")&gt;0,SUMIFS(TrackingTime!H:H,TrackingTime!F:F,Timer!B123,TrackingTime!C:C,"Hovedkontoret"),"")</f>
        <v/>
      </c>
      <c r="AA123" s="71" t="str">
        <f t="shared" si="69"/>
        <v/>
      </c>
      <c r="AB123" t="str">
        <f>IF(SUMIFS(TrackingTime!H:H,TrackingTime!F:F,Timer!B123,TrackingTime!C:C,Start!$F$3)&gt;0,SUMIFS(TrackingTime!H:H,TrackingTime!F:F,Timer!B123,TrackingTime!C:C,Start!$F$3),"")</f>
        <v/>
      </c>
      <c r="AC123" s="71" t="str">
        <f t="shared" si="72"/>
        <v/>
      </c>
    </row>
    <row r="124" spans="1:29" x14ac:dyDescent="0.25">
      <c r="A124" s="15"/>
      <c r="B124" s="63">
        <f t="shared" ref="B124:B129" si="127">B123+DAY(1)</f>
        <v>46084</v>
      </c>
      <c r="C124" t="str">
        <f>IFERROR(IF(OR(L124="Fri",L124="Ferie",L124="Syk",L124="Omsorg",B124&lt;Start!$B$7),0,IF(IFERROR(MATCH(B124,Start!A$253:A$273,0),0)&gt;0,VLOOKUP(B124,Start!A$253:F$273,3,FALSE)/100*Start!$B$4,VLOOKUP(WEEKDAY(B124,2),Start!A$240:F$246,4,FALSE))),"")</f>
        <v/>
      </c>
      <c r="D124" t="str">
        <f>IFERROR(IF(OR(U124="Fri",U124="Ferie",U124="Syk",U124="Omsorg",B124&lt;Start!$F$7),0,IF(IFERROR(MATCH(B124,Start!A$253:A$273,0),0)&gt;0,VLOOKUP(B124,Start!A$253:F$273,3,FALSE)/100*Start!$F$4,VLOOKUP(WEEKDAY(B124,2),Start!A$240:F$246,6,FALSE))),"")</f>
        <v/>
      </c>
      <c r="E124">
        <f t="shared" ca="1" si="100"/>
        <v>0</v>
      </c>
      <c r="F124">
        <f>IFERROR(IF(YEAR(B124)=Start!$B$1,MONTH(B124),""),"")</f>
        <v>3</v>
      </c>
      <c r="G124" s="64" t="str">
        <f>IFERROR(VLOOKUP(B124,Start!A$111:B$273,2,FALSE),"")</f>
        <v/>
      </c>
      <c r="H124" s="21"/>
      <c r="I124" s="78">
        <v>0.33333333333333331</v>
      </c>
      <c r="J124" s="78">
        <v>0.33333333333333331</v>
      </c>
      <c r="K124" s="1" t="str">
        <f>IF(Start!$B$6="Ja","",IF(((J124-I124)*24)&gt;=5.5,"X",""))</f>
        <v/>
      </c>
      <c r="L124" s="1" t="str">
        <f>IF(_xlfn.IFNA(MATCH($A123,Start!$H$3:$H$11,0),0)&gt;0,"Ferie",IFERROR(IF(VLOOKUP($B124,Start!$A$165:$B$234,2,FALSE)&gt;0,"Fri",0),IF(AND((J124-I124)=0,Z124=""),"",MAX((IF(K124="X",(J124-I124)*24-0.5,(J124-I124)*24)),Z124))))</f>
        <v/>
      </c>
      <c r="M124" s="58"/>
      <c r="N124" s="21" t="str">
        <f t="shared" si="123"/>
        <v/>
      </c>
      <c r="O124" s="21" t="str">
        <f t="shared" si="124"/>
        <v/>
      </c>
      <c r="P124" s="2"/>
      <c r="Q124" s="21"/>
      <c r="R124" s="78">
        <v>0.33333333333333331</v>
      </c>
      <c r="S124" s="78">
        <v>0.33333333333333331</v>
      </c>
      <c r="T124" s="1" t="str">
        <f>IF(Start!$B$6="Ja","",IF(((S124-R124)*24)&gt;=5.5,"X",""))</f>
        <v/>
      </c>
      <c r="U124" s="1" t="str">
        <f>IF(_xlfn.IFNA(MATCH($A$15,Start!$H$3:$H$11,0),0)&gt;0,"Ferie",(IF(L124="fri","Fri",(IF(L124="syk","Syk",IF(L124="Ferie","Ferie",IF(AND((S124-R124)=0,AB124=""),"",MAX((IF(T124="X",(S124-R124)*24-0.5,(S124-R124)*24)),AB124))))))))</f>
        <v/>
      </c>
      <c r="V124" s="58"/>
      <c r="W124" s="21" t="str">
        <f t="shared" si="125"/>
        <v/>
      </c>
      <c r="X124" s="21" t="str">
        <f t="shared" si="126"/>
        <v/>
      </c>
      <c r="Z124" s="70" t="str">
        <f>IF(SUMIFS(TrackingTime!H:H,TrackingTime!F:F,Timer!B124,TrackingTime!C:C,"Hovedkontoret")&gt;0,SUMIFS(TrackingTime!H:H,TrackingTime!F:F,Timer!B124,TrackingTime!C:C,"Hovedkontoret"),"")</f>
        <v/>
      </c>
      <c r="AA124" s="71" t="str">
        <f t="shared" si="69"/>
        <v/>
      </c>
      <c r="AB124" t="str">
        <f>IF(SUMIFS(TrackingTime!H:H,TrackingTime!F:F,Timer!B124,TrackingTime!C:C,Start!$F$3)&gt;0,SUMIFS(TrackingTime!H:H,TrackingTime!F:F,Timer!B124,TrackingTime!C:C,Start!$F$3),"")</f>
        <v/>
      </c>
      <c r="AC124" s="71" t="str">
        <f t="shared" si="72"/>
        <v/>
      </c>
    </row>
    <row r="125" spans="1:29" x14ac:dyDescent="0.25">
      <c r="A125" s="15"/>
      <c r="B125" s="63">
        <f t="shared" si="127"/>
        <v>46085</v>
      </c>
      <c r="C125" t="str">
        <f>IFERROR(IF(OR(L125="Fri",L125="Ferie",L125="Syk",L125="Omsorg",B125&lt;Start!$B$7),0,IF(IFERROR(MATCH(B125,Start!A$253:A$273,0),0)&gt;0,VLOOKUP(B125,Start!A$253:F$273,3,FALSE)/100*Start!$B$4,VLOOKUP(WEEKDAY(B125,2),Start!A$240:F$246,4,FALSE))),"")</f>
        <v/>
      </c>
      <c r="D125" t="str">
        <f>IFERROR(IF(OR(U125="Fri",U125="Ferie",U125="Syk",U125="Omsorg",B125&lt;Start!$F$7),0,IF(IFERROR(MATCH(B125,Start!A$253:A$273,0),0)&gt;0,VLOOKUP(B125,Start!A$253:F$273,3,FALSE)/100*Start!$F$4,VLOOKUP(WEEKDAY(B125,2),Start!A$240:F$246,6,FALSE))),"")</f>
        <v/>
      </c>
      <c r="E125">
        <f t="shared" ca="1" si="100"/>
        <v>0</v>
      </c>
      <c r="F125">
        <f>IFERROR(IF(YEAR(B125)=Start!$B$1,MONTH(B125),""),"")</f>
        <v>3</v>
      </c>
      <c r="G125" s="64" t="str">
        <f>IFERROR(VLOOKUP(B125,Start!A$111:B$273,2,FALSE),"")</f>
        <v/>
      </c>
      <c r="H125" s="21"/>
      <c r="I125" s="78">
        <v>0.33333333333333331</v>
      </c>
      <c r="J125" s="78">
        <v>0.33333333333333331</v>
      </c>
      <c r="K125" s="1" t="str">
        <f>IF(Start!$B$6="Ja","",IF(((J125-I125)*24)&gt;=5.5,"X",""))</f>
        <v/>
      </c>
      <c r="L125" s="1" t="str">
        <f>IF(_xlfn.IFNA(MATCH($A123,Start!$H$3:$H$11,0),0)&gt;0,"Ferie",IFERROR(IF(VLOOKUP(B125,Start!A$165:B$234,2,FALSE)&gt;0,"Fri",0),IF(AND((J125-I125)=0,Z125=""),"",MAX((IF(K125="X",(J125-I125)*24-0.5,(J125-I125)*24)),Z125))))</f>
        <v/>
      </c>
      <c r="M125" s="58"/>
      <c r="N125" s="21" t="str">
        <f t="shared" si="123"/>
        <v/>
      </c>
      <c r="O125" s="21" t="str">
        <f t="shared" si="124"/>
        <v/>
      </c>
      <c r="P125" s="2"/>
      <c r="Q125" s="21"/>
      <c r="R125" s="78">
        <v>0.33333333333333331</v>
      </c>
      <c r="S125" s="78">
        <v>0.33333333333333331</v>
      </c>
      <c r="T125" s="1" t="str">
        <f>IF(Start!$B$6="Ja","",IF(((S125-R125)*24)&gt;=5.5,"X",""))</f>
        <v/>
      </c>
      <c r="U125" s="1" t="str">
        <f>IF(_xlfn.IFNA(MATCH($A$15,Start!$H$3:$H$11,0),0)&gt;0,"Ferie",(IF(L125="fri","Fri",(IF(L125="syk","Syk",IF(L125="Ferie","Ferie",IF(AND((S125-R125)=0,AB125=""),"",MAX((IF(T125="X",(S125-R125)*24-0.5,(S125-R125)*24)),AB125))))))))</f>
        <v/>
      </c>
      <c r="V125" s="58"/>
      <c r="W125" s="21" t="str">
        <f t="shared" si="125"/>
        <v/>
      </c>
      <c r="X125" s="21" t="str">
        <f t="shared" si="126"/>
        <v/>
      </c>
      <c r="Z125" s="70" t="str">
        <f>IF(SUMIFS(TrackingTime!H:H,TrackingTime!F:F,Timer!B125,TrackingTime!C:C,"Hovedkontoret")&gt;0,SUMIFS(TrackingTime!H:H,TrackingTime!F:F,Timer!B125,TrackingTime!C:C,"Hovedkontoret"),"")</f>
        <v/>
      </c>
      <c r="AA125" s="71" t="str">
        <f t="shared" si="69"/>
        <v/>
      </c>
      <c r="AB125" t="str">
        <f>IF(SUMIFS(TrackingTime!H:H,TrackingTime!F:F,Timer!B125,TrackingTime!C:C,Start!$F$3)&gt;0,SUMIFS(TrackingTime!H:H,TrackingTime!F:F,Timer!B125,TrackingTime!C:C,Start!$F$3),"")</f>
        <v/>
      </c>
      <c r="AC125" s="71" t="str">
        <f t="shared" si="72"/>
        <v/>
      </c>
    </row>
    <row r="126" spans="1:29" x14ac:dyDescent="0.25">
      <c r="A126" s="15"/>
      <c r="B126" s="63">
        <f t="shared" si="127"/>
        <v>46086</v>
      </c>
      <c r="C126" t="str">
        <f>IFERROR(IF(OR(L126="Fri",L126="Ferie",L126="Syk",L126="Omsorg",B126&lt;Start!$B$7),0,IF(IFERROR(MATCH(B126,Start!A$253:A$273,0),0)&gt;0,VLOOKUP(B126,Start!A$253:F$273,3,FALSE)/100*Start!$B$4,VLOOKUP(WEEKDAY(B126,2),Start!A$240:F$246,4,FALSE))),"")</f>
        <v/>
      </c>
      <c r="D126" t="str">
        <f>IFERROR(IF(OR(U126="Fri",U126="Ferie",U126="Syk",U126="Omsorg",B126&lt;Start!$F$7),0,IF(IFERROR(MATCH(B126,Start!A$253:A$273,0),0)&gt;0,VLOOKUP(B126,Start!A$253:F$273,3,FALSE)/100*Start!$F$4,VLOOKUP(WEEKDAY(B126,2),Start!A$240:F$246,6,FALSE))),"")</f>
        <v/>
      </c>
      <c r="E126">
        <f t="shared" ca="1" si="100"/>
        <v>0</v>
      </c>
      <c r="F126">
        <f>IFERROR(IF(YEAR(B126)=Start!$B$1,MONTH(B126),""),"")</f>
        <v>3</v>
      </c>
      <c r="G126" s="64" t="str">
        <f>IFERROR(VLOOKUP(B126,Start!A$111:B$273,2,FALSE),"")</f>
        <v/>
      </c>
      <c r="H126" s="21"/>
      <c r="I126" s="78">
        <v>0.33333333333333331</v>
      </c>
      <c r="J126" s="78">
        <v>0.33333333333333331</v>
      </c>
      <c r="K126" s="1" t="str">
        <f>IF(Start!$B$6="Ja","",IF(((J126-I126)*24)&gt;=5.5,"X",""))</f>
        <v/>
      </c>
      <c r="L126" s="1" t="str">
        <f>IF(_xlfn.IFNA(MATCH($A123,Start!$H$3:$H$11,0),0)&gt;0,"Ferie",IFERROR(IF(VLOOKUP(B126,Start!A$165:B$234,2,FALSE)&gt;0,"Fri",0),IF(AND((J126-I126)=0,Z126=""),"",MAX((IF(K126="X",(J126-I126)*24-0.5,(J126-I126)*24)),Z126))))</f>
        <v/>
      </c>
      <c r="M126" s="58"/>
      <c r="N126" s="21" t="str">
        <f t="shared" si="123"/>
        <v/>
      </c>
      <c r="O126" s="21" t="str">
        <f t="shared" si="124"/>
        <v/>
      </c>
      <c r="P126" s="2"/>
      <c r="Q126" s="21"/>
      <c r="R126" s="78">
        <v>0.33333333333333331</v>
      </c>
      <c r="S126" s="78">
        <v>0.33333333333333331</v>
      </c>
      <c r="T126" s="1" t="str">
        <f>IF(Start!$B$6="Ja","",IF(((S126-R126)*24)&gt;=5.5,"X",""))</f>
        <v/>
      </c>
      <c r="U126" s="1" t="str">
        <f>IF(_xlfn.IFNA(MATCH($A$15,Start!$H$3:$H$11,0),0)&gt;0,"Ferie",(IF(L126="fri","Fri",(IF(L126="syk","Syk",IF(L126="Ferie","Ferie",IF(AND((S126-R126)=0,AB126=""),"",MAX((IF(T126="X",(S126-R126)*24-0.5,(S126-R126)*24)),AB126))))))))</f>
        <v/>
      </c>
      <c r="V126" s="58"/>
      <c r="W126" s="21" t="str">
        <f t="shared" si="125"/>
        <v/>
      </c>
      <c r="X126" s="21" t="str">
        <f t="shared" si="126"/>
        <v/>
      </c>
      <c r="Z126" s="70" t="str">
        <f>IF(SUMIFS(TrackingTime!H:H,TrackingTime!F:F,Timer!B126,TrackingTime!C:C,"Hovedkontoret")&gt;0,SUMIFS(TrackingTime!H:H,TrackingTime!F:F,Timer!B126,TrackingTime!C:C,"Hovedkontoret"),"")</f>
        <v/>
      </c>
      <c r="AA126" s="71" t="str">
        <f t="shared" si="69"/>
        <v/>
      </c>
      <c r="AB126" t="str">
        <f>IF(SUMIFS(TrackingTime!H:H,TrackingTime!F:F,Timer!B126,TrackingTime!C:C,Start!$F$3)&gt;0,SUMIFS(TrackingTime!H:H,TrackingTime!F:F,Timer!B126,TrackingTime!C:C,Start!$F$3),"")</f>
        <v/>
      </c>
      <c r="AC126" s="71" t="str">
        <f t="shared" si="72"/>
        <v/>
      </c>
    </row>
    <row r="127" spans="1:29" x14ac:dyDescent="0.25">
      <c r="A127" s="15"/>
      <c r="B127" s="63">
        <f t="shared" si="127"/>
        <v>46087</v>
      </c>
      <c r="C127" t="str">
        <f>IFERROR(IF(OR(L127="Fri",L127="Ferie",L127="Syk",L127="Omsorg",B127&lt;Start!$B$7),0,IF(IFERROR(MATCH(B127,Start!A$253:A$273,0),0)&gt;0,VLOOKUP(B127,Start!A$253:F$273,3,FALSE)/100*Start!$B$4,VLOOKUP(WEEKDAY(B127,2),Start!A$240:F$246,4,FALSE))),"")</f>
        <v/>
      </c>
      <c r="D127" t="str">
        <f>IFERROR(IF(OR(U127="Fri",U127="Ferie",U127="Syk",U127="Omsorg",B127&lt;Start!$F$7),0,IF(IFERROR(MATCH(B127,Start!A$253:A$273,0),0)&gt;0,VLOOKUP(B127,Start!A$253:F$273,3,FALSE)/100*Start!$F$4,VLOOKUP(WEEKDAY(B127,2),Start!A$240:F$246,6,FALSE))),"")</f>
        <v/>
      </c>
      <c r="E127">
        <f t="shared" ca="1" si="100"/>
        <v>0</v>
      </c>
      <c r="F127">
        <f>IFERROR(IF(YEAR(B127)=Start!$B$1,MONTH(B127),""),"")</f>
        <v>3</v>
      </c>
      <c r="G127" s="64" t="str">
        <f>IFERROR(VLOOKUP(B127,Start!A$111:B$273,2,FALSE),"")</f>
        <v/>
      </c>
      <c r="H127" s="21"/>
      <c r="I127" s="78">
        <v>0.33333333333333331</v>
      </c>
      <c r="J127" s="78">
        <v>0.33333333333333331</v>
      </c>
      <c r="K127" s="1" t="str">
        <f>IF(Start!$B$6="Ja","",IF(((J127-I127)*24)&gt;=5.5,"X",""))</f>
        <v/>
      </c>
      <c r="L127" s="1" t="str">
        <f>IF(_xlfn.IFNA(MATCH($A123,Start!$H$3:$H$11,0),0)&gt;0,"Ferie",IFERROR(IF(VLOOKUP(B127,Start!A$165:B$234,2,FALSE)&gt;0,"Fri",0),IF(AND((J127-I127)=0,Z127=""),"",MAX((IF(K127="X",(J127-I127)*24-0.5,(J127-I127)*24)),Z127))))</f>
        <v/>
      </c>
      <c r="M127" s="58"/>
      <c r="N127" s="21" t="str">
        <f t="shared" si="123"/>
        <v/>
      </c>
      <c r="O127" s="21" t="str">
        <f t="shared" si="124"/>
        <v/>
      </c>
      <c r="P127" s="2"/>
      <c r="Q127" s="21"/>
      <c r="R127" s="78">
        <v>0.33333333333333331</v>
      </c>
      <c r="S127" s="78">
        <v>0.33333333333333331</v>
      </c>
      <c r="T127" s="1" t="str">
        <f>IF(Start!$B$6="Ja","",IF(((S127-R127)*24)&gt;=5.5,"X",""))</f>
        <v/>
      </c>
      <c r="U127" s="1" t="str">
        <f>IF(_xlfn.IFNA(MATCH($A$15,Start!$H$3:$H$11,0),0)&gt;0,"Ferie",(IF(L127="fri","Fri",(IF(L127="syk","Syk",IF(L127="Ferie","Ferie",IF(AND((S127-R127)=0,AB127=""),"",MAX((IF(T127="X",(S127-R127)*24-0.5,(S127-R127)*24)),AB127))))))))</f>
        <v/>
      </c>
      <c r="V127" s="58"/>
      <c r="W127" s="21" t="str">
        <f t="shared" si="125"/>
        <v/>
      </c>
      <c r="X127" s="21" t="str">
        <f t="shared" si="126"/>
        <v/>
      </c>
      <c r="Z127" s="70" t="str">
        <f>IF(SUMIFS(TrackingTime!H:H,TrackingTime!F:F,Timer!B127,TrackingTime!C:C,"Hovedkontoret")&gt;0,SUMIFS(TrackingTime!H:H,TrackingTime!F:F,Timer!B127,TrackingTime!C:C,"Hovedkontoret"),"")</f>
        <v/>
      </c>
      <c r="AA127" s="71" t="str">
        <f t="shared" si="69"/>
        <v/>
      </c>
      <c r="AB127" t="str">
        <f>IF(SUMIFS(TrackingTime!H:H,TrackingTime!F:F,Timer!B127,TrackingTime!C:C,Start!$F$3)&gt;0,SUMIFS(TrackingTime!H:H,TrackingTime!F:F,Timer!B127,TrackingTime!C:C,Start!$F$3),"")</f>
        <v/>
      </c>
      <c r="AC127" s="71" t="str">
        <f t="shared" si="72"/>
        <v/>
      </c>
    </row>
    <row r="128" spans="1:29" x14ac:dyDescent="0.25">
      <c r="A128" s="15"/>
      <c r="B128" s="63">
        <f t="shared" si="127"/>
        <v>46088</v>
      </c>
      <c r="C128">
        <f>IFERROR(IF(OR(L128="Fri",L128="Ferie",L128="Syk",L128="Omsorg",B128&lt;Start!$B$7),0,IF(IFERROR(MATCH(B128,Start!A$253:A$273,0),0)&gt;0,VLOOKUP(B128,Start!A$253:F$273,3,FALSE)/100*Start!$B$4,VLOOKUP(WEEKDAY(B128,2),Start!A$240:F$246,4,FALSE))),"")</f>
        <v>0</v>
      </c>
      <c r="D128">
        <f>IFERROR(IF(OR(U128="Fri",U128="Ferie",U128="Syk",U128="Omsorg",B128&lt;Start!$F$7),0,IF(IFERROR(MATCH(B128,Start!A$253:A$273,0),0)&gt;0,VLOOKUP(B128,Start!A$253:F$273,3,FALSE)/100*Start!$F$4,VLOOKUP(WEEKDAY(B128,2),Start!A$240:F$246,6,FALSE))),"")</f>
        <v>0</v>
      </c>
      <c r="E128">
        <f t="shared" ca="1" si="100"/>
        <v>0</v>
      </c>
      <c r="F128">
        <f>IFERROR(IF(YEAR(B128)=Start!$B$1,MONTH(B128),""),"")</f>
        <v>3</v>
      </c>
      <c r="G128" s="64" t="str">
        <f>IFERROR(VLOOKUP(B128,Start!A$111:B$273,2,FALSE),"")</f>
        <v/>
      </c>
      <c r="H128" s="21"/>
      <c r="I128" s="78">
        <v>0.41666666666666669</v>
      </c>
      <c r="J128" s="78">
        <v>0.41666666666666669</v>
      </c>
      <c r="K128" s="1" t="str">
        <f>IF(Start!$B$6="Ja","",IF(((J128-I128)*24)&gt;=5.5,"X",""))</f>
        <v/>
      </c>
      <c r="L128" s="1" t="str">
        <f t="shared" ref="L128:L129" si="128">IF(AND((J128-I128)=0,Z128=""),"",MAX((IF(K128="X",(J128-I128)*24-0.5,(J128-I128)*24)),Z128))</f>
        <v/>
      </c>
      <c r="M128" s="58"/>
      <c r="N128" s="21" t="str">
        <f t="shared" si="123"/>
        <v/>
      </c>
      <c r="O128" s="21" t="str">
        <f t="shared" si="124"/>
        <v/>
      </c>
      <c r="P128" s="2"/>
      <c r="Q128" s="21"/>
      <c r="R128" s="78">
        <v>0.41666666666666669</v>
      </c>
      <c r="S128" s="78">
        <v>0.41666666666666669</v>
      </c>
      <c r="T128" s="1" t="str">
        <f>IF(Start!$B$6="Ja","",IF(((S128-R128)*24)&gt;=5.5,"X",""))</f>
        <v/>
      </c>
      <c r="U128" s="1" t="str">
        <f t="shared" ref="U128:U129" si="129">IF(AND((S128-R128)=0,AB128=""),"",MAX((IF(T128="X",(S128-R128)*24-0.5,(S128-R128)*24)),AB128))</f>
        <v/>
      </c>
      <c r="V128" s="58"/>
      <c r="W128" s="21" t="str">
        <f t="shared" si="125"/>
        <v/>
      </c>
      <c r="X128" s="21" t="str">
        <f t="shared" si="126"/>
        <v/>
      </c>
      <c r="Z128" s="70" t="str">
        <f>IF(SUMIFS(TrackingTime!H:H,TrackingTime!F:F,Timer!B128,TrackingTime!C:C,"Hovedkontoret")&gt;0,SUMIFS(TrackingTime!H:H,TrackingTime!F:F,Timer!B128,TrackingTime!C:C,"Hovedkontoret"),"")</f>
        <v/>
      </c>
      <c r="AA128" s="71" t="str">
        <f t="shared" si="69"/>
        <v/>
      </c>
      <c r="AB128" t="str">
        <f>IF(SUMIFS(TrackingTime!H:H,TrackingTime!F:F,Timer!B128,TrackingTime!C:C,Start!$F$3)&gt;0,SUMIFS(TrackingTime!H:H,TrackingTime!F:F,Timer!B128,TrackingTime!C:C,Start!$F$3),"")</f>
        <v/>
      </c>
      <c r="AC128" s="71" t="str">
        <f t="shared" si="72"/>
        <v/>
      </c>
    </row>
    <row r="129" spans="1:29" x14ac:dyDescent="0.25">
      <c r="A129" s="15"/>
      <c r="B129" s="63">
        <f t="shared" si="127"/>
        <v>46089</v>
      </c>
      <c r="C129">
        <f>IFERROR(IF(OR(L129="Fri",L129="Ferie",L129="Syk",L129="Omsorg",B129&lt;Start!$B$7),0,IF(IFERROR(MATCH(B129,Start!A$253:A$273,0),0)&gt;0,VLOOKUP(B129,Start!A$253:F$273,3,FALSE)/100*Start!$B$4,VLOOKUP(WEEKDAY(B129,2),Start!A$240:F$246,4,FALSE))),"")</f>
        <v>0</v>
      </c>
      <c r="D129">
        <f>IFERROR(IF(OR(U129="Fri",U129="Ferie",U129="Syk",U129="Omsorg",B129&lt;Start!$F$7),0,IF(IFERROR(MATCH(B129,Start!A$253:A$273,0),0)&gt;0,VLOOKUP(B129,Start!A$253:F$273,3,FALSE)/100*Start!$F$4,VLOOKUP(WEEKDAY(B129,2),Start!A$240:F$246,6,FALSE))),"")</f>
        <v>0</v>
      </c>
      <c r="E129">
        <f t="shared" ca="1" si="100"/>
        <v>0</v>
      </c>
      <c r="F129">
        <f>IFERROR(IF(YEAR(B129)=Start!$B$1,MONTH(B129),""),"")</f>
        <v>3</v>
      </c>
      <c r="G129" s="64" t="str">
        <f>IFERROR(VLOOKUP(B129,Start!A$111:B$273,2,FALSE),"")</f>
        <v/>
      </c>
      <c r="H129" s="25"/>
      <c r="I129" s="78">
        <v>0.41666666666666669</v>
      </c>
      <c r="J129" s="78">
        <v>0.41666666666666669</v>
      </c>
      <c r="K129" s="1" t="str">
        <f>IF(Start!$B$6="Ja","",IF(((J129-I129)*24)&gt;=5.5,"X",""))</f>
        <v/>
      </c>
      <c r="L129" s="1" t="str">
        <f t="shared" si="128"/>
        <v/>
      </c>
      <c r="M129" s="58"/>
      <c r="N129" s="21" t="str">
        <f t="shared" si="123"/>
        <v/>
      </c>
      <c r="O129" s="21" t="str">
        <f t="shared" si="124"/>
        <v/>
      </c>
      <c r="Q129" s="25"/>
      <c r="R129" s="78">
        <v>0.41666666666666669</v>
      </c>
      <c r="S129" s="78">
        <v>0.41666666666666669</v>
      </c>
      <c r="T129" s="1" t="str">
        <f>IF(Start!$B$6="Ja","",IF(((S129-R129)*24)&gt;=5.5,"X",""))</f>
        <v/>
      </c>
      <c r="U129" s="1" t="str">
        <f t="shared" si="129"/>
        <v/>
      </c>
      <c r="V129" s="58"/>
      <c r="W129" s="21" t="str">
        <f t="shared" si="125"/>
        <v/>
      </c>
      <c r="X129" s="21" t="str">
        <f t="shared" si="126"/>
        <v/>
      </c>
      <c r="Z129" s="70" t="str">
        <f>IF(SUMIFS(TrackingTime!H:H,TrackingTime!F:F,Timer!B129,TrackingTime!C:C,"Hovedkontoret")&gt;0,SUMIFS(TrackingTime!H:H,TrackingTime!F:F,Timer!B129,TrackingTime!C:C,"Hovedkontoret"),"")</f>
        <v/>
      </c>
      <c r="AA129" s="71" t="str">
        <f t="shared" si="69"/>
        <v/>
      </c>
      <c r="AB129" t="str">
        <f>IF(SUMIFS(TrackingTime!H:H,TrackingTime!F:F,Timer!B129,TrackingTime!C:C,Start!$F$3)&gt;0,SUMIFS(TrackingTime!H:H,TrackingTime!F:F,Timer!B129,TrackingTime!C:C,Start!$F$3),"")</f>
        <v/>
      </c>
      <c r="AC129" s="71" t="str">
        <f t="shared" si="72"/>
        <v/>
      </c>
    </row>
    <row r="130" spans="1:29" x14ac:dyDescent="0.25">
      <c r="A130" s="15"/>
      <c r="B130" s="4" t="s">
        <v>11</v>
      </c>
      <c r="C130" s="24"/>
      <c r="D130" s="24"/>
      <c r="E130" s="24">
        <f t="shared" ca="1" si="100"/>
        <v>0</v>
      </c>
      <c r="F130" s="24" t="str">
        <f>IFERROR(IF(YEAR(B130)=Start!$B$1,MONTH(B130),""),"")</f>
        <v/>
      </c>
      <c r="G130" s="64" t="str">
        <f>IFERROR(VLOOKUP(B130,Start!A$111:B$273,2,FALSE),"")</f>
        <v/>
      </c>
      <c r="H130" s="4"/>
      <c r="I130" s="4"/>
      <c r="J130" s="4"/>
      <c r="K130" s="4"/>
      <c r="L130" s="5">
        <f t="shared" si="86"/>
        <v>0</v>
      </c>
      <c r="N130" s="24"/>
      <c r="O130" s="39">
        <f t="shared" ref="O130" si="130">SUM(O123:O129)</f>
        <v>0</v>
      </c>
      <c r="P130" s="40"/>
      <c r="Q130" s="41"/>
      <c r="R130" s="4"/>
      <c r="S130" s="4"/>
      <c r="T130" s="4"/>
      <c r="U130" s="5">
        <f t="shared" ref="U130" si="131">SUM($U123:$U129)</f>
        <v>0</v>
      </c>
      <c r="V130" s="58"/>
      <c r="W130" s="39"/>
      <c r="X130" s="39">
        <f t="shared" si="105"/>
        <v>0</v>
      </c>
      <c r="Z130" s="70" t="str">
        <f>IF(SUMIFS(TrackingTime!H:H,TrackingTime!F:F,Timer!B130,TrackingTime!C:C,"Hovedkontoret")&gt;0,SUMIFS(TrackingTime!H:H,TrackingTime!F:F,Timer!B130,TrackingTime!C:C,"Hovedkontoret"),"")</f>
        <v/>
      </c>
      <c r="AA130" s="71" t="str">
        <f t="shared" si="69"/>
        <v/>
      </c>
      <c r="AB130" t="str">
        <f>IF(SUMIFS(TrackingTime!H:H,TrackingTime!F:F,Timer!B130,TrackingTime!C:C,Start!$F$3)&gt;0,SUMIFS(TrackingTime!H:H,TrackingTime!F:F,Timer!B130,TrackingTime!C:C,Start!$F$3),"")</f>
        <v/>
      </c>
      <c r="AC130" s="71" t="str">
        <f t="shared" si="72"/>
        <v/>
      </c>
    </row>
    <row r="131" spans="1:29" x14ac:dyDescent="0.25">
      <c r="A131" s="15"/>
      <c r="B131" t="s">
        <v>90</v>
      </c>
      <c r="E131">
        <f t="shared" ca="1" si="100"/>
        <v>0</v>
      </c>
      <c r="F131" t="str">
        <f>IFERROR(IF(YEAR(B131)=Start!$B$1,MONTH(B131),""),"")</f>
        <v/>
      </c>
      <c r="G131" s="64" t="str">
        <f>IFERROR(VLOOKUP(B131,Start!A$111:B$273,2,FALSE),"")</f>
        <v/>
      </c>
      <c r="L131" s="1">
        <f t="shared" si="89"/>
        <v>0</v>
      </c>
      <c r="M131" s="1"/>
      <c r="N131" s="1"/>
      <c r="O131" s="21">
        <f t="shared" ref="O131" si="132">L131</f>
        <v>0</v>
      </c>
      <c r="P131" s="40"/>
      <c r="Q131" s="21"/>
      <c r="U131" s="1">
        <f t="shared" ref="U131" si="133">SUMIFS(D123:D129,F123:F129,"&gt;0")</f>
        <v>0</v>
      </c>
      <c r="V131" s="1"/>
      <c r="W131" s="1"/>
      <c r="X131" s="21">
        <f>U131</f>
        <v>0</v>
      </c>
      <c r="Z131" s="70" t="str">
        <f>IF(SUMIFS(TrackingTime!H:H,TrackingTime!F:F,Timer!B131,TrackingTime!C:C,"Hovedkontoret")&gt;0,SUMIFS(TrackingTime!H:H,TrackingTime!F:F,Timer!B131,TrackingTime!C:C,"Hovedkontoret"),"")</f>
        <v/>
      </c>
      <c r="AA131" s="71" t="str">
        <f t="shared" si="69"/>
        <v/>
      </c>
      <c r="AB131" t="str">
        <f>IF(SUMIFS(TrackingTime!H:H,TrackingTime!F:F,Timer!B131,TrackingTime!C:C,Start!$F$3)&gt;0,SUMIFS(TrackingTime!H:H,TrackingTime!F:F,Timer!B131,TrackingTime!C:C,Start!$F$3),"")</f>
        <v/>
      </c>
      <c r="AC131" s="71" t="str">
        <f t="shared" si="72"/>
        <v/>
      </c>
    </row>
    <row r="132" spans="1:29" x14ac:dyDescent="0.25">
      <c r="A132" s="16">
        <f>B129-B123-1</f>
        <v>5</v>
      </c>
      <c r="B132" t="s">
        <v>117</v>
      </c>
      <c r="E132">
        <f t="shared" ca="1" si="100"/>
        <v>0</v>
      </c>
      <c r="F132" t="str">
        <f>IFERROR(IF(YEAR(B132)=Start!$B$1,MONTH(B132),""),"")</f>
        <v/>
      </c>
      <c r="G132" s="64" t="str">
        <f>IFERROR(VLOOKUP(B132,Start!A$111:B$273,2,FALSE),"")</f>
        <v/>
      </c>
      <c r="L132" s="77">
        <f t="shared" ca="1" si="92"/>
        <v>0</v>
      </c>
      <c r="O132" s="21">
        <f t="shared" ref="O132" si="134">O130-O131</f>
        <v>0</v>
      </c>
      <c r="P132" s="21"/>
      <c r="Q132" s="21"/>
      <c r="U132" s="1">
        <f t="shared" ref="U132" ca="1" si="135">U130-U131*(IF(NETWORKDAYS($B123,TODAY())&lt;0,0,IF(NETWORKDAYS($B123,TODAY())&lt;=$A132,NETWORKDAYS($B123,TODAY()),$A132)))/$A132</f>
        <v>0</v>
      </c>
      <c r="V132" s="58"/>
      <c r="W132" s="21"/>
      <c r="X132" s="21">
        <f>X130-X131</f>
        <v>0</v>
      </c>
      <c r="Z132" s="70" t="str">
        <f>IF(SUMIFS(TrackingTime!H:H,TrackingTime!F:F,Timer!B132,TrackingTime!C:C,"Hovedkontoret")&gt;0,SUMIFS(TrackingTime!H:H,TrackingTime!F:F,Timer!B132,TrackingTime!C:C,"Hovedkontoret"),"")</f>
        <v/>
      </c>
      <c r="AA132" s="71" t="str">
        <f t="shared" si="69"/>
        <v/>
      </c>
      <c r="AB132" t="str">
        <f>IF(SUMIFS(TrackingTime!H:H,TrackingTime!F:F,Timer!B132,TrackingTime!C:C,Start!$F$3)&gt;0,SUMIFS(TrackingTime!H:H,TrackingTime!F:F,Timer!B132,TrackingTime!C:C,Start!$F$3),"")</f>
        <v/>
      </c>
      <c r="AC132" s="71" t="str">
        <f t="shared" si="72"/>
        <v/>
      </c>
    </row>
    <row r="133" spans="1:29" x14ac:dyDescent="0.25">
      <c r="A133" s="15"/>
      <c r="E133">
        <f t="shared" ca="1" si="100"/>
        <v>1</v>
      </c>
      <c r="F133" t="str">
        <f>IFERROR(IF(YEAR(B133)=Start!$B$1,MONTH(B133),""),"")</f>
        <v/>
      </c>
      <c r="G133" s="64" t="str">
        <f>IFERROR(VLOOKUP(B133,Start!A$111:B$273,2,FALSE),"")</f>
        <v/>
      </c>
      <c r="O133" s="2"/>
      <c r="P133" s="2"/>
      <c r="U133" s="1"/>
      <c r="V133" s="7"/>
      <c r="X133" s="2"/>
      <c r="Z133" s="70" t="str">
        <f>IF(SUMIFS(TrackingTime!H:H,TrackingTime!F:F,Timer!B133,TrackingTime!C:C,"Hovedkontoret")&gt;0,SUMIFS(TrackingTime!H:H,TrackingTime!F:F,Timer!B133,TrackingTime!C:C,"Hovedkontoret"),"")</f>
        <v/>
      </c>
      <c r="AA133" s="71" t="str">
        <f t="shared" si="69"/>
        <v/>
      </c>
      <c r="AB133" t="str">
        <f>IF(SUMIFS(TrackingTime!H:H,TrackingTime!F:F,Timer!B133,TrackingTime!C:C,Start!$F$3)&gt;0,SUMIFS(TrackingTime!H:H,TrackingTime!F:F,Timer!B133,TrackingTime!C:C,Start!$F$3),"")</f>
        <v/>
      </c>
      <c r="AC133" s="71" t="str">
        <f t="shared" si="72"/>
        <v/>
      </c>
    </row>
    <row r="134" spans="1:29" x14ac:dyDescent="0.25">
      <c r="A134" s="2" t="s">
        <v>82</v>
      </c>
      <c r="B134" s="14" t="s">
        <v>83</v>
      </c>
      <c r="E134">
        <f t="shared" ca="1" si="100"/>
        <v>0</v>
      </c>
      <c r="F134" t="str">
        <f>IFERROR(IF(YEAR(B134)=Start!$B$1,MONTH(B134),""),"")</f>
        <v/>
      </c>
      <c r="G134" s="64" t="str">
        <f>IFERROR(VLOOKUP(B134,Start!A$111:B$273,2,FALSE),"")</f>
        <v/>
      </c>
      <c r="H134" s="2" t="s">
        <v>86</v>
      </c>
      <c r="I134" s="2" t="s">
        <v>125</v>
      </c>
      <c r="J134" s="2" t="s">
        <v>126</v>
      </c>
      <c r="K134" s="2" t="s">
        <v>127</v>
      </c>
      <c r="L134" s="3" t="s">
        <v>87</v>
      </c>
      <c r="M134" s="6"/>
      <c r="N134" s="2" t="s">
        <v>88</v>
      </c>
      <c r="O134" s="2" t="s">
        <v>89</v>
      </c>
      <c r="P134" s="2"/>
      <c r="Q134" s="2" t="s">
        <v>86</v>
      </c>
      <c r="R134" s="2" t="s">
        <v>125</v>
      </c>
      <c r="S134" s="2" t="s">
        <v>126</v>
      </c>
      <c r="T134" s="2" t="s">
        <v>127</v>
      </c>
      <c r="U134" s="3" t="s">
        <v>87</v>
      </c>
      <c r="V134" s="6"/>
      <c r="W134" s="2" t="s">
        <v>88</v>
      </c>
      <c r="X134" s="2" t="s">
        <v>89</v>
      </c>
      <c r="Z134" s="70" t="str">
        <f>IF(SUMIFS(TrackingTime!H:H,TrackingTime!F:F,Timer!B134,TrackingTime!C:C,"Hovedkontoret")&gt;0,SUMIFS(TrackingTime!H:H,TrackingTime!F:F,Timer!B134,TrackingTime!C:C,"Hovedkontoret"),"")</f>
        <v/>
      </c>
      <c r="AA134" s="71" t="str">
        <f t="shared" si="69"/>
        <v/>
      </c>
      <c r="AB134" t="str">
        <f>IF(SUMIFS(TrackingTime!H:H,TrackingTime!F:F,Timer!B134,TrackingTime!C:C,Start!$F$3)&gt;0,SUMIFS(TrackingTime!H:H,TrackingTime!F:F,Timer!B134,TrackingTime!C:C,Start!$F$3),"")</f>
        <v/>
      </c>
      <c r="AC134" s="71" t="str">
        <f t="shared" si="72"/>
        <v/>
      </c>
    </row>
    <row r="135" spans="1:29" x14ac:dyDescent="0.25">
      <c r="A135" s="15">
        <f>WEEKNUM(B135,21)</f>
        <v>11</v>
      </c>
      <c r="B135" s="63">
        <f>B129+(DAY(1))</f>
        <v>46090</v>
      </c>
      <c r="C135" t="str">
        <f>IFERROR(IF(OR(L135="Fri",L135="Ferie",L135="Syk",L135="Omsorg",B135&lt;Start!$B$7),0,IF(IFERROR(MATCH(B135,Start!A$253:A$273,0),0)&gt;0,VLOOKUP(B135,Start!A$253:F$273,3,FALSE)/100*Start!$B$4,VLOOKUP(WEEKDAY(B135,2),Start!A$240:F$246,4,FALSE))),"")</f>
        <v/>
      </c>
      <c r="D135" t="str">
        <f>IFERROR(IF(OR(U135="Fri",U135="Ferie",U135="Syk",U135="Omsorg",B135&lt;Start!$F$7),0,IF(IFERROR(MATCH(B135,Start!A$253:A$273,0),0)&gt;0,VLOOKUP(B135,Start!A$253:F$273,3,FALSE)/100*Start!$F$4,VLOOKUP(WEEKDAY(B135,2),Start!A$240:F$246,6,FALSE))),"")</f>
        <v/>
      </c>
      <c r="E135">
        <f t="shared" ca="1" si="100"/>
        <v>0</v>
      </c>
      <c r="F135">
        <f>IFERROR(IF(YEAR(B135)=Start!$B$1,MONTH(B135),""),"")</f>
        <v>3</v>
      </c>
      <c r="G135" s="64" t="str">
        <f>IFERROR(VLOOKUP(B135,Start!A$111:B$273,2,FALSE),"")</f>
        <v/>
      </c>
      <c r="H135" s="21"/>
      <c r="I135" s="78">
        <v>0.33333333333333331</v>
      </c>
      <c r="J135" s="78">
        <v>0.33333333333333331</v>
      </c>
      <c r="K135" s="1" t="str">
        <f>IF(Start!$B$6="Ja","",IF(((J135-I135)*24)&gt;=5.5,"X",""))</f>
        <v/>
      </c>
      <c r="L135" s="1" t="str">
        <f>IF(_xlfn.IFNA(MATCH($A135,Start!$H$3:$H$11,0),0)&gt;0,"Ferie",IFERROR(IF(VLOOKUP(B135,Start!A$165:B$234,2,FALSE)&gt;0,"Fri",0),IF(AND((J135-I135)=0,Z135=""),"",MAX((IF(K135="X",(J135-I135)*24-0.5,(J135-I135)*24)),Z135))))</f>
        <v/>
      </c>
      <c r="M135" s="58"/>
      <c r="N135" s="21" t="str">
        <f t="shared" ref="N135:N141" si="136">IF(H135=0,"",H135)</f>
        <v/>
      </c>
      <c r="O135" s="21" t="str">
        <f t="shared" ref="O135:O141" si="137">IF(L135=0,"",L135)</f>
        <v/>
      </c>
      <c r="P135" s="2"/>
      <c r="Q135" s="21"/>
      <c r="R135" s="78">
        <v>0.33333333333333331</v>
      </c>
      <c r="S135" s="78">
        <v>0.33333333333333331</v>
      </c>
      <c r="T135" s="1" t="str">
        <f>IF(Start!$B$6="Ja","",IF(((S135-R135)*24)&gt;=5.5,"X",""))</f>
        <v/>
      </c>
      <c r="U135" s="1" t="str">
        <f>IF(_xlfn.IFNA(MATCH($A$15,Start!$H$3:$H$11,0),0)&gt;0,"Ferie",(IF(L135="fri","Fri",(IF(L135="syk","Syk",IF(L135="Ferie","Ferie",IF(AND((S135-R135)=0,AB135=""),"",MAX((IF(T135="X",(S135-R135)*24-0.5,(S135-R135)*24)),AB135))))))))</f>
        <v/>
      </c>
      <c r="V135" s="58"/>
      <c r="W135" s="21" t="str">
        <f t="shared" ref="W135:W141" si="138">IF(Q135=0,"",Q135)</f>
        <v/>
      </c>
      <c r="X135" s="21" t="str">
        <f t="shared" ref="X135:X141" si="139">IF(U135=0,"",U135)</f>
        <v/>
      </c>
      <c r="Z135" s="70" t="str">
        <f>IF(SUMIFS(TrackingTime!H:H,TrackingTime!F:F,Timer!B135,TrackingTime!C:C,"Hovedkontoret")&gt;0,SUMIFS(TrackingTime!H:H,TrackingTime!F:F,Timer!B135,TrackingTime!C:C,"Hovedkontoret"),"")</f>
        <v/>
      </c>
      <c r="AA135" s="71" t="str">
        <f t="shared" si="69"/>
        <v/>
      </c>
      <c r="AB135" t="str">
        <f>IF(SUMIFS(TrackingTime!H:H,TrackingTime!F:F,Timer!B135,TrackingTime!C:C,Start!$F$3)&gt;0,SUMIFS(TrackingTime!H:H,TrackingTime!F:F,Timer!B135,TrackingTime!C:C,Start!$F$3),"")</f>
        <v/>
      </c>
      <c r="AC135" s="71" t="str">
        <f t="shared" si="72"/>
        <v/>
      </c>
    </row>
    <row r="136" spans="1:29" x14ac:dyDescent="0.25">
      <c r="A136" s="15"/>
      <c r="B136" s="63">
        <f t="shared" ref="B136:B141" si="140">B135+DAY(1)</f>
        <v>46091</v>
      </c>
      <c r="C136" t="str">
        <f>IFERROR(IF(OR(L136="Fri",L136="Ferie",L136="Syk",L136="Omsorg",B136&lt;Start!$B$7),0,IF(IFERROR(MATCH(B136,Start!A$253:A$273,0),0)&gt;0,VLOOKUP(B136,Start!A$253:F$273,3,FALSE)/100*Start!$B$4,VLOOKUP(WEEKDAY(B136,2),Start!A$240:F$246,4,FALSE))),"")</f>
        <v/>
      </c>
      <c r="D136" t="str">
        <f>IFERROR(IF(OR(U136="Fri",U136="Ferie",U136="Syk",U136="Omsorg",B136&lt;Start!$F$7),0,IF(IFERROR(MATCH(B136,Start!A$253:A$273,0),0)&gt;0,VLOOKUP(B136,Start!A$253:F$273,3,FALSE)/100*Start!$F$4,VLOOKUP(WEEKDAY(B136,2),Start!A$240:F$246,6,FALSE))),"")</f>
        <v/>
      </c>
      <c r="E136">
        <f t="shared" ca="1" si="100"/>
        <v>0</v>
      </c>
      <c r="F136">
        <f>IFERROR(IF(YEAR(B136)=Start!$B$1,MONTH(B136),""),"")</f>
        <v>3</v>
      </c>
      <c r="G136" s="64" t="str">
        <f>IFERROR(VLOOKUP(B136,Start!A$111:B$273,2,FALSE),"")</f>
        <v/>
      </c>
      <c r="H136" s="21"/>
      <c r="I136" s="78">
        <v>0.33333333333333331</v>
      </c>
      <c r="J136" s="78">
        <v>0.33333333333333331</v>
      </c>
      <c r="K136" s="1" t="str">
        <f>IF(Start!$B$6="Ja","",IF(((J136-I136)*24)&gt;=5.5,"X",""))</f>
        <v/>
      </c>
      <c r="L136" s="1" t="str">
        <f>IF(_xlfn.IFNA(MATCH($A135,Start!$H$3:$H$11,0),0)&gt;0,"Ferie",IFERROR(IF(VLOOKUP($B136,Start!$A$165:$B$234,2,FALSE)&gt;0,"Fri",0),IF(AND((J136-I136)=0,Z136=""),"",MAX((IF(K136="X",(J136-I136)*24-0.5,(J136-I136)*24)),Z136))))</f>
        <v/>
      </c>
      <c r="M136" s="58"/>
      <c r="N136" s="21" t="str">
        <f t="shared" si="136"/>
        <v/>
      </c>
      <c r="O136" s="21" t="str">
        <f t="shared" si="137"/>
        <v/>
      </c>
      <c r="P136" s="2"/>
      <c r="Q136" s="21"/>
      <c r="R136" s="78">
        <v>0.33333333333333331</v>
      </c>
      <c r="S136" s="78">
        <v>0.33333333333333331</v>
      </c>
      <c r="T136" s="1" t="str">
        <f>IF(Start!$B$6="Ja","",IF(((S136-R136)*24)&gt;=5.5,"X",""))</f>
        <v/>
      </c>
      <c r="U136" s="1" t="str">
        <f>IF(_xlfn.IFNA(MATCH($A$15,Start!$H$3:$H$11,0),0)&gt;0,"Ferie",(IF(L136="fri","Fri",(IF(L136="syk","Syk",IF(L136="Ferie","Ferie",IF(AND((S136-R136)=0,AB136=""),"",MAX((IF(T136="X",(S136-R136)*24-0.5,(S136-R136)*24)),AB136))))))))</f>
        <v/>
      </c>
      <c r="V136" s="58"/>
      <c r="W136" s="21" t="str">
        <f t="shared" si="138"/>
        <v/>
      </c>
      <c r="X136" s="21" t="str">
        <f t="shared" si="139"/>
        <v/>
      </c>
      <c r="Z136" s="70" t="str">
        <f>IF(SUMIFS(TrackingTime!H:H,TrackingTime!F:F,Timer!B136,TrackingTime!C:C,"Hovedkontoret")&gt;0,SUMIFS(TrackingTime!H:H,TrackingTime!F:F,Timer!B136,TrackingTime!C:C,"Hovedkontoret"),"")</f>
        <v/>
      </c>
      <c r="AA136" s="71" t="str">
        <f t="shared" si="69"/>
        <v/>
      </c>
      <c r="AB136" t="str">
        <f>IF(SUMIFS(TrackingTime!H:H,TrackingTime!F:F,Timer!B136,TrackingTime!C:C,Start!$F$3)&gt;0,SUMIFS(TrackingTime!H:H,TrackingTime!F:F,Timer!B136,TrackingTime!C:C,Start!$F$3),"")</f>
        <v/>
      </c>
      <c r="AC136" s="71" t="str">
        <f t="shared" si="72"/>
        <v/>
      </c>
    </row>
    <row r="137" spans="1:29" x14ac:dyDescent="0.25">
      <c r="A137" s="15"/>
      <c r="B137" s="63">
        <f t="shared" si="140"/>
        <v>46092</v>
      </c>
      <c r="C137" t="str">
        <f>IFERROR(IF(OR(L137="Fri",L137="Ferie",L137="Syk",L137="Omsorg",B137&lt;Start!$B$7),0,IF(IFERROR(MATCH(B137,Start!A$253:A$273,0),0)&gt;0,VLOOKUP(B137,Start!A$253:F$273,3,FALSE)/100*Start!$B$4,VLOOKUP(WEEKDAY(B137,2),Start!A$240:F$246,4,FALSE))),"")</f>
        <v/>
      </c>
      <c r="D137" t="str">
        <f>IFERROR(IF(OR(U137="Fri",U137="Ferie",U137="Syk",U137="Omsorg",B137&lt;Start!$F$7),0,IF(IFERROR(MATCH(B137,Start!A$253:A$273,0),0)&gt;0,VLOOKUP(B137,Start!A$253:F$273,3,FALSE)/100*Start!$F$4,VLOOKUP(WEEKDAY(B137,2),Start!A$240:F$246,6,FALSE))),"")</f>
        <v/>
      </c>
      <c r="E137">
        <f t="shared" ca="1" si="100"/>
        <v>0</v>
      </c>
      <c r="F137">
        <f>IFERROR(IF(YEAR(B137)=Start!$B$1,MONTH(B137),""),"")</f>
        <v>3</v>
      </c>
      <c r="G137" s="64" t="str">
        <f>IFERROR(VLOOKUP(B137,Start!A$111:B$273,2,FALSE),"")</f>
        <v/>
      </c>
      <c r="H137" s="21"/>
      <c r="I137" s="78">
        <v>0.33333333333333331</v>
      </c>
      <c r="J137" s="78">
        <v>0.33333333333333331</v>
      </c>
      <c r="K137" s="1" t="str">
        <f>IF(Start!$B$6="Ja","",IF(((J137-I137)*24)&gt;=5.5,"X",""))</f>
        <v/>
      </c>
      <c r="L137" s="1" t="str">
        <f>IF(_xlfn.IFNA(MATCH($A135,Start!$H$3:$H$11,0),0)&gt;0,"Ferie",IFERROR(IF(VLOOKUP(B137,Start!A$165:B$234,2,FALSE)&gt;0,"Fri",0),IF(AND((J137-I137)=0,Z137=""),"",MAX((IF(K137="X",(J137-I137)*24-0.5,(J137-I137)*24)),Z137))))</f>
        <v/>
      </c>
      <c r="M137" s="58"/>
      <c r="N137" s="21" t="str">
        <f t="shared" si="136"/>
        <v/>
      </c>
      <c r="O137" s="21" t="str">
        <f t="shared" si="137"/>
        <v/>
      </c>
      <c r="P137" s="2"/>
      <c r="Q137" s="21"/>
      <c r="R137" s="78">
        <v>0.33333333333333331</v>
      </c>
      <c r="S137" s="78">
        <v>0.33333333333333331</v>
      </c>
      <c r="T137" s="1" t="str">
        <f>IF(Start!$B$6="Ja","",IF(((S137-R137)*24)&gt;=5.5,"X",""))</f>
        <v/>
      </c>
      <c r="U137" s="1" t="str">
        <f>IF(_xlfn.IFNA(MATCH($A$15,Start!$H$3:$H$11,0),0)&gt;0,"Ferie",(IF(L137="fri","Fri",(IF(L137="syk","Syk",IF(L137="Ferie","Ferie",IF(AND((S137-R137)=0,AB137=""),"",MAX((IF(T137="X",(S137-R137)*24-0.5,(S137-R137)*24)),AB137))))))))</f>
        <v/>
      </c>
      <c r="V137" s="58"/>
      <c r="W137" s="21" t="str">
        <f t="shared" si="138"/>
        <v/>
      </c>
      <c r="X137" s="21" t="str">
        <f t="shared" si="139"/>
        <v/>
      </c>
      <c r="Z137" s="70" t="str">
        <f>IF(SUMIFS(TrackingTime!H:H,TrackingTime!F:F,Timer!B137,TrackingTime!C:C,"Hovedkontoret")&gt;0,SUMIFS(TrackingTime!H:H,TrackingTime!F:F,Timer!B137,TrackingTime!C:C,"Hovedkontoret"),"")</f>
        <v/>
      </c>
      <c r="AA137" s="71" t="str">
        <f t="shared" si="69"/>
        <v/>
      </c>
      <c r="AB137" t="str">
        <f>IF(SUMIFS(TrackingTime!H:H,TrackingTime!F:F,Timer!B137,TrackingTime!C:C,Start!$F$3)&gt;0,SUMIFS(TrackingTime!H:H,TrackingTime!F:F,Timer!B137,TrackingTime!C:C,Start!$F$3),"")</f>
        <v/>
      </c>
      <c r="AC137" s="71" t="str">
        <f t="shared" si="72"/>
        <v/>
      </c>
    </row>
    <row r="138" spans="1:29" x14ac:dyDescent="0.25">
      <c r="A138" s="15"/>
      <c r="B138" s="63">
        <f t="shared" si="140"/>
        <v>46093</v>
      </c>
      <c r="C138" t="str">
        <f>IFERROR(IF(OR(L138="Fri",L138="Ferie",L138="Syk",L138="Omsorg",B138&lt;Start!$B$7),0,IF(IFERROR(MATCH(B138,Start!A$253:A$273,0),0)&gt;0,VLOOKUP(B138,Start!A$253:F$273,3,FALSE)/100*Start!$B$4,VLOOKUP(WEEKDAY(B138,2),Start!A$240:F$246,4,FALSE))),"")</f>
        <v/>
      </c>
      <c r="D138" t="str">
        <f>IFERROR(IF(OR(U138="Fri",U138="Ferie",U138="Syk",U138="Omsorg",B138&lt;Start!$F$7),0,IF(IFERROR(MATCH(B138,Start!A$253:A$273,0),0)&gt;0,VLOOKUP(B138,Start!A$253:F$273,3,FALSE)/100*Start!$F$4,VLOOKUP(WEEKDAY(B138,2),Start!A$240:F$246,6,FALSE))),"")</f>
        <v/>
      </c>
      <c r="E138">
        <f t="shared" ca="1" si="100"/>
        <v>0</v>
      </c>
      <c r="F138">
        <f>IFERROR(IF(YEAR(B138)=Start!$B$1,MONTH(B138),""),"")</f>
        <v>3</v>
      </c>
      <c r="G138" s="64" t="str">
        <f>IFERROR(VLOOKUP(B138,Start!A$111:B$273,2,FALSE),"")</f>
        <v/>
      </c>
      <c r="H138" s="21"/>
      <c r="I138" s="78">
        <v>0.33333333333333331</v>
      </c>
      <c r="J138" s="78">
        <v>0.33333333333333331</v>
      </c>
      <c r="K138" s="1" t="str">
        <f>IF(Start!$B$6="Ja","",IF(((J138-I138)*24)&gt;=5.5,"X",""))</f>
        <v/>
      </c>
      <c r="L138" s="1" t="str">
        <f>IF(_xlfn.IFNA(MATCH($A135,Start!$H$3:$H$11,0),0)&gt;0,"Ferie",IFERROR(IF(VLOOKUP(B138,Start!A$165:B$234,2,FALSE)&gt;0,"Fri",0),IF(AND((J138-I138)=0,Z138=""),"",MAX((IF(K138="X",(J138-I138)*24-0.5,(J138-I138)*24)),Z138))))</f>
        <v/>
      </c>
      <c r="M138" s="58"/>
      <c r="N138" s="21" t="str">
        <f t="shared" si="136"/>
        <v/>
      </c>
      <c r="O138" s="21" t="str">
        <f t="shared" si="137"/>
        <v/>
      </c>
      <c r="P138" s="2"/>
      <c r="Q138" s="21"/>
      <c r="R138" s="78">
        <v>0.33333333333333331</v>
      </c>
      <c r="S138" s="78">
        <v>0.33333333333333331</v>
      </c>
      <c r="T138" s="1" t="str">
        <f>IF(Start!$B$6="Ja","",IF(((S138-R138)*24)&gt;=5.5,"X",""))</f>
        <v/>
      </c>
      <c r="U138" s="1" t="str">
        <f>IF(_xlfn.IFNA(MATCH($A$15,Start!$H$3:$H$11,0),0)&gt;0,"Ferie",(IF(L138="fri","Fri",(IF(L138="syk","Syk",IF(L138="Ferie","Ferie",IF(AND((S138-R138)=0,AB138=""),"",MAX((IF(T138="X",(S138-R138)*24-0.5,(S138-R138)*24)),AB138))))))))</f>
        <v/>
      </c>
      <c r="V138" s="58"/>
      <c r="W138" s="21" t="str">
        <f t="shared" si="138"/>
        <v/>
      </c>
      <c r="X138" s="21" t="str">
        <f t="shared" si="139"/>
        <v/>
      </c>
      <c r="Z138" s="70" t="str">
        <f>IF(SUMIFS(TrackingTime!H:H,TrackingTime!F:F,Timer!B138,TrackingTime!C:C,"Hovedkontoret")&gt;0,SUMIFS(TrackingTime!H:H,TrackingTime!F:F,Timer!B138,TrackingTime!C:C,"Hovedkontoret"),"")</f>
        <v/>
      </c>
      <c r="AA138" s="71" t="str">
        <f t="shared" si="69"/>
        <v/>
      </c>
      <c r="AB138" t="str">
        <f>IF(SUMIFS(TrackingTime!H:H,TrackingTime!F:F,Timer!B138,TrackingTime!C:C,Start!$F$3)&gt;0,SUMIFS(TrackingTime!H:H,TrackingTime!F:F,Timer!B138,TrackingTime!C:C,Start!$F$3),"")</f>
        <v/>
      </c>
      <c r="AC138" s="71" t="str">
        <f t="shared" si="72"/>
        <v/>
      </c>
    </row>
    <row r="139" spans="1:29" x14ac:dyDescent="0.25">
      <c r="A139" s="15"/>
      <c r="B139" s="63">
        <f t="shared" si="140"/>
        <v>46094</v>
      </c>
      <c r="C139" t="str">
        <f>IFERROR(IF(OR(L139="Fri",L139="Ferie",L139="Syk",L139="Omsorg",B139&lt;Start!$B$7),0,IF(IFERROR(MATCH(B139,Start!A$253:A$273,0),0)&gt;0,VLOOKUP(B139,Start!A$253:F$273,3,FALSE)/100*Start!$B$4,VLOOKUP(WEEKDAY(B139,2),Start!A$240:F$246,4,FALSE))),"")</f>
        <v/>
      </c>
      <c r="D139" t="str">
        <f>IFERROR(IF(OR(U139="Fri",U139="Ferie",U139="Syk",U139="Omsorg",B139&lt;Start!$F$7),0,IF(IFERROR(MATCH(B139,Start!A$253:A$273,0),0)&gt;0,VLOOKUP(B139,Start!A$253:F$273,3,FALSE)/100*Start!$F$4,VLOOKUP(WEEKDAY(B139,2),Start!A$240:F$246,6,FALSE))),"")</f>
        <v/>
      </c>
      <c r="E139">
        <f t="shared" ca="1" si="100"/>
        <v>0</v>
      </c>
      <c r="F139">
        <f>IFERROR(IF(YEAR(B139)=Start!$B$1,MONTH(B139),""),"")</f>
        <v>3</v>
      </c>
      <c r="G139" s="64" t="str">
        <f>IFERROR(VLOOKUP(B139,Start!A$111:B$273,2,FALSE),"")</f>
        <v/>
      </c>
      <c r="H139" s="21"/>
      <c r="I139" s="78">
        <v>0.33333333333333331</v>
      </c>
      <c r="J139" s="78">
        <v>0.33333333333333331</v>
      </c>
      <c r="K139" s="1" t="str">
        <f>IF(Start!$B$6="Ja","",IF(((J139-I139)*24)&gt;=5.5,"X",""))</f>
        <v/>
      </c>
      <c r="L139" s="1" t="str">
        <f>IF(_xlfn.IFNA(MATCH($A135,Start!$H$3:$H$11,0),0)&gt;0,"Ferie",IFERROR(IF(VLOOKUP(B139,Start!A$165:B$234,2,FALSE)&gt;0,"Fri",0),IF(AND((J139-I139)=0,Z139=""),"",MAX((IF(K139="X",(J139-I139)*24-0.5,(J139-I139)*24)),Z139))))</f>
        <v/>
      </c>
      <c r="M139" s="58"/>
      <c r="N139" s="21" t="str">
        <f t="shared" si="136"/>
        <v/>
      </c>
      <c r="O139" s="21" t="str">
        <f t="shared" si="137"/>
        <v/>
      </c>
      <c r="P139" s="2"/>
      <c r="Q139" s="21"/>
      <c r="R139" s="78">
        <v>0.33333333333333331</v>
      </c>
      <c r="S139" s="78">
        <v>0.33333333333333331</v>
      </c>
      <c r="T139" s="1" t="str">
        <f>IF(Start!$B$6="Ja","",IF(((S139-R139)*24)&gt;=5.5,"X",""))</f>
        <v/>
      </c>
      <c r="U139" s="1" t="str">
        <f>IF(_xlfn.IFNA(MATCH($A$15,Start!$H$3:$H$11,0),0)&gt;0,"Ferie",(IF(L139="fri","Fri",(IF(L139="syk","Syk",IF(L139="Ferie","Ferie",IF(AND((S139-R139)=0,AB139=""),"",MAX((IF(T139="X",(S139-R139)*24-0.5,(S139-R139)*24)),AB139))))))))</f>
        <v/>
      </c>
      <c r="V139" s="58"/>
      <c r="W139" s="21" t="str">
        <f t="shared" si="138"/>
        <v/>
      </c>
      <c r="X139" s="21" t="str">
        <f t="shared" si="139"/>
        <v/>
      </c>
      <c r="Z139" s="70" t="str">
        <f>IF(SUMIFS(TrackingTime!H:H,TrackingTime!F:F,Timer!B139,TrackingTime!C:C,"Hovedkontoret")&gt;0,SUMIFS(TrackingTime!H:H,TrackingTime!F:F,Timer!B139,TrackingTime!C:C,"Hovedkontoret"),"")</f>
        <v/>
      </c>
      <c r="AA139" s="71" t="str">
        <f t="shared" si="69"/>
        <v/>
      </c>
      <c r="AB139" t="str">
        <f>IF(SUMIFS(TrackingTime!H:H,TrackingTime!F:F,Timer!B139,TrackingTime!C:C,Start!$F$3)&gt;0,SUMIFS(TrackingTime!H:H,TrackingTime!F:F,Timer!B139,TrackingTime!C:C,Start!$F$3),"")</f>
        <v/>
      </c>
      <c r="AC139" s="71" t="str">
        <f t="shared" si="72"/>
        <v/>
      </c>
    </row>
    <row r="140" spans="1:29" x14ac:dyDescent="0.25">
      <c r="A140" s="15"/>
      <c r="B140" s="63">
        <f t="shared" si="140"/>
        <v>46095</v>
      </c>
      <c r="C140">
        <f>IFERROR(IF(OR(L140="Fri",L140="Ferie",L140="Syk",L140="Omsorg",B140&lt;Start!$B$7),0,IF(IFERROR(MATCH(B140,Start!A$253:A$273,0),0)&gt;0,VLOOKUP(B140,Start!A$253:F$273,3,FALSE)/100*Start!$B$4,VLOOKUP(WEEKDAY(B140,2),Start!A$240:F$246,4,FALSE))),"")</f>
        <v>0</v>
      </c>
      <c r="D140">
        <f>IFERROR(IF(OR(U140="Fri",U140="Ferie",U140="Syk",U140="Omsorg",B140&lt;Start!$F$7),0,IF(IFERROR(MATCH(B140,Start!A$253:A$273,0),0)&gt;0,VLOOKUP(B140,Start!A$253:F$273,3,FALSE)/100*Start!$F$4,VLOOKUP(WEEKDAY(B140,2),Start!A$240:F$246,6,FALSE))),"")</f>
        <v>0</v>
      </c>
      <c r="E140">
        <f t="shared" ca="1" si="100"/>
        <v>0</v>
      </c>
      <c r="F140">
        <f>IFERROR(IF(YEAR(B140)=Start!$B$1,MONTH(B140),""),"")</f>
        <v>3</v>
      </c>
      <c r="G140" s="64" t="str">
        <f>IFERROR(VLOOKUP(B140,Start!A$111:B$273,2,FALSE),"")</f>
        <v/>
      </c>
      <c r="H140" s="21"/>
      <c r="I140" s="78">
        <v>0.41666666666666669</v>
      </c>
      <c r="J140" s="78">
        <v>0.41666666666666669</v>
      </c>
      <c r="K140" s="1" t="str">
        <f>IF(Start!$B$6="Ja","",IF(((J140-I140)*24)&gt;=5.5,"X",""))</f>
        <v/>
      </c>
      <c r="L140" s="1" t="str">
        <f t="shared" ref="L140:L141" si="141">IF(AND((J140-I140)=0,Z140=""),"",MAX((IF(K140="X",(J140-I140)*24-0.5,(J140-I140)*24)),Z140))</f>
        <v/>
      </c>
      <c r="M140" s="58"/>
      <c r="N140" s="21" t="str">
        <f t="shared" si="136"/>
        <v/>
      </c>
      <c r="O140" s="21" t="str">
        <f t="shared" si="137"/>
        <v/>
      </c>
      <c r="P140" s="2"/>
      <c r="Q140" s="21"/>
      <c r="R140" s="78">
        <v>0.41666666666666669</v>
      </c>
      <c r="S140" s="78">
        <v>0.41666666666666669</v>
      </c>
      <c r="T140" s="1" t="str">
        <f>IF(Start!$B$6="Ja","",IF(((S140-R140)*24)&gt;=5.5,"X",""))</f>
        <v/>
      </c>
      <c r="U140" s="1" t="str">
        <f t="shared" ref="U140:U141" si="142">IF(AND((S140-R140)=0,AB140=""),"",MAX((IF(T140="X",(S140-R140)*24-0.5,(S140-R140)*24)),AB140))</f>
        <v/>
      </c>
      <c r="V140" s="58"/>
      <c r="W140" s="21" t="str">
        <f t="shared" si="138"/>
        <v/>
      </c>
      <c r="X140" s="21" t="str">
        <f t="shared" si="139"/>
        <v/>
      </c>
      <c r="Z140" s="70" t="str">
        <f>IF(SUMIFS(TrackingTime!H:H,TrackingTime!F:F,Timer!B140,TrackingTime!C:C,"Hovedkontoret")&gt;0,SUMIFS(TrackingTime!H:H,TrackingTime!F:F,Timer!B140,TrackingTime!C:C,"Hovedkontoret"),"")</f>
        <v/>
      </c>
      <c r="AA140" s="71" t="str">
        <f t="shared" si="69"/>
        <v/>
      </c>
      <c r="AB140" t="str">
        <f>IF(SUMIFS(TrackingTime!H:H,TrackingTime!F:F,Timer!B140,TrackingTime!C:C,Start!$F$3)&gt;0,SUMIFS(TrackingTime!H:H,TrackingTime!F:F,Timer!B140,TrackingTime!C:C,Start!$F$3),"")</f>
        <v/>
      </c>
      <c r="AC140" s="71" t="str">
        <f t="shared" si="72"/>
        <v/>
      </c>
    </row>
    <row r="141" spans="1:29" x14ac:dyDescent="0.25">
      <c r="A141" s="15"/>
      <c r="B141" s="63">
        <f t="shared" si="140"/>
        <v>46096</v>
      </c>
      <c r="C141">
        <f>IFERROR(IF(OR(L141="Fri",L141="Ferie",L141="Syk",L141="Omsorg",B141&lt;Start!$B$7),0,IF(IFERROR(MATCH(B141,Start!A$253:A$273,0),0)&gt;0,VLOOKUP(B141,Start!A$253:F$273,3,FALSE)/100*Start!$B$4,VLOOKUP(WEEKDAY(B141,2),Start!A$240:F$246,4,FALSE))),"")</f>
        <v>0</v>
      </c>
      <c r="D141">
        <f>IFERROR(IF(OR(U141="Fri",U141="Ferie",U141="Syk",U141="Omsorg",B141&lt;Start!$F$7),0,IF(IFERROR(MATCH(B141,Start!A$253:A$273,0),0)&gt;0,VLOOKUP(B141,Start!A$253:F$273,3,FALSE)/100*Start!$F$4,VLOOKUP(WEEKDAY(B141,2),Start!A$240:F$246,6,FALSE))),"")</f>
        <v>0</v>
      </c>
      <c r="E141">
        <f t="shared" ca="1" si="100"/>
        <v>0</v>
      </c>
      <c r="F141">
        <f>IFERROR(IF(YEAR(B141)=Start!$B$1,MONTH(B141),""),"")</f>
        <v>3</v>
      </c>
      <c r="G141" s="64" t="str">
        <f>IFERROR(VLOOKUP(B141,Start!A$111:B$273,2,FALSE),"")</f>
        <v/>
      </c>
      <c r="H141" s="25"/>
      <c r="I141" s="78">
        <v>0.41666666666666669</v>
      </c>
      <c r="J141" s="78">
        <v>0.41666666666666669</v>
      </c>
      <c r="K141" s="1" t="str">
        <f>IF(Start!$B$6="Ja","",IF(((J141-I141)*24)&gt;=5.5,"X",""))</f>
        <v/>
      </c>
      <c r="L141" s="1" t="str">
        <f t="shared" si="141"/>
        <v/>
      </c>
      <c r="M141" s="58"/>
      <c r="N141" s="21" t="str">
        <f t="shared" si="136"/>
        <v/>
      </c>
      <c r="O141" s="21" t="str">
        <f t="shared" si="137"/>
        <v/>
      </c>
      <c r="Q141" s="25"/>
      <c r="R141" s="78">
        <v>0.41666666666666669</v>
      </c>
      <c r="S141" s="78">
        <v>0.41666666666666669</v>
      </c>
      <c r="T141" s="1" t="str">
        <f>IF(Start!$B$6="Ja","",IF(((S141-R141)*24)&gt;=5.5,"X",""))</f>
        <v/>
      </c>
      <c r="U141" s="1" t="str">
        <f t="shared" si="142"/>
        <v/>
      </c>
      <c r="V141" s="58"/>
      <c r="W141" s="21" t="str">
        <f t="shared" si="138"/>
        <v/>
      </c>
      <c r="X141" s="21" t="str">
        <f t="shared" si="139"/>
        <v/>
      </c>
      <c r="Z141" s="70" t="str">
        <f>IF(SUMIFS(TrackingTime!H:H,TrackingTime!F:F,Timer!B141,TrackingTime!C:C,"Hovedkontoret")&gt;0,SUMIFS(TrackingTime!H:H,TrackingTime!F:F,Timer!B141,TrackingTime!C:C,"Hovedkontoret"),"")</f>
        <v/>
      </c>
      <c r="AA141" s="71" t="str">
        <f t="shared" si="69"/>
        <v/>
      </c>
      <c r="AB141" t="str">
        <f>IF(SUMIFS(TrackingTime!H:H,TrackingTime!F:F,Timer!B141,TrackingTime!C:C,Start!$F$3)&gt;0,SUMIFS(TrackingTime!H:H,TrackingTime!F:F,Timer!B141,TrackingTime!C:C,Start!$F$3),"")</f>
        <v/>
      </c>
      <c r="AC141" s="71" t="str">
        <f t="shared" si="72"/>
        <v/>
      </c>
    </row>
    <row r="142" spans="1:29" x14ac:dyDescent="0.25">
      <c r="A142" s="15"/>
      <c r="B142" s="4" t="s">
        <v>11</v>
      </c>
      <c r="C142" s="24"/>
      <c r="D142" s="24"/>
      <c r="E142" s="24">
        <f t="shared" ca="1" si="100"/>
        <v>0</v>
      </c>
      <c r="F142" s="24" t="str">
        <f>IFERROR(IF(YEAR(B142)=Start!$B$1,MONTH(B142),""),"")</f>
        <v/>
      </c>
      <c r="G142" s="64" t="str">
        <f>IFERROR(VLOOKUP(B142,Start!A$111:B$273,2,FALSE),"")</f>
        <v/>
      </c>
      <c r="H142" s="4"/>
      <c r="I142" s="4"/>
      <c r="J142" s="4"/>
      <c r="K142" s="4"/>
      <c r="L142" s="5">
        <f t="shared" si="86"/>
        <v>0</v>
      </c>
      <c r="N142" s="24"/>
      <c r="O142" s="39">
        <f t="shared" ref="O142" si="143">SUM(O135:O141)</f>
        <v>0</v>
      </c>
      <c r="P142" s="40"/>
      <c r="Q142" s="41"/>
      <c r="R142" s="4"/>
      <c r="S142" s="4"/>
      <c r="T142" s="4"/>
      <c r="U142" s="5">
        <f t="shared" ref="U142" si="144">SUM($U135:$U141)</f>
        <v>0</v>
      </c>
      <c r="V142" s="58"/>
      <c r="W142" s="39"/>
      <c r="X142" s="39">
        <f t="shared" si="105"/>
        <v>0</v>
      </c>
      <c r="Z142" s="70" t="str">
        <f>IF(SUMIFS(TrackingTime!H:H,TrackingTime!F:F,Timer!B142,TrackingTime!C:C,"Hovedkontoret")&gt;0,SUMIFS(TrackingTime!H:H,TrackingTime!F:F,Timer!B142,TrackingTime!C:C,"Hovedkontoret"),"")</f>
        <v/>
      </c>
      <c r="AA142" s="71" t="str">
        <f t="shared" si="69"/>
        <v/>
      </c>
      <c r="AB142" t="str">
        <f>IF(SUMIFS(TrackingTime!H:H,TrackingTime!F:F,Timer!B142,TrackingTime!C:C,Start!$F$3)&gt;0,SUMIFS(TrackingTime!H:H,TrackingTime!F:F,Timer!B142,TrackingTime!C:C,Start!$F$3),"")</f>
        <v/>
      </c>
      <c r="AC142" s="71" t="str">
        <f t="shared" si="72"/>
        <v/>
      </c>
    </row>
    <row r="143" spans="1:29" x14ac:dyDescent="0.25">
      <c r="A143" s="15"/>
      <c r="B143" t="s">
        <v>90</v>
      </c>
      <c r="E143">
        <f t="shared" ca="1" si="100"/>
        <v>0</v>
      </c>
      <c r="F143" t="str">
        <f>IFERROR(IF(YEAR(B143)=Start!$B$1,MONTH(B143),""),"")</f>
        <v/>
      </c>
      <c r="G143" s="64" t="str">
        <f>IFERROR(VLOOKUP(B143,Start!A$111:B$273,2,FALSE),"")</f>
        <v/>
      </c>
      <c r="L143" s="1">
        <f t="shared" si="89"/>
        <v>0</v>
      </c>
      <c r="M143" s="1"/>
      <c r="N143" s="1"/>
      <c r="O143" s="21">
        <f t="shared" ref="O143" si="145">L143</f>
        <v>0</v>
      </c>
      <c r="P143" s="40"/>
      <c r="Q143" s="21"/>
      <c r="U143" s="1">
        <f t="shared" ref="U143" si="146">SUMIFS(D135:D141,F135:F141,"&gt;0")</f>
        <v>0</v>
      </c>
      <c r="V143" s="1"/>
      <c r="W143" s="1"/>
      <c r="X143" s="21">
        <f>U143</f>
        <v>0</v>
      </c>
      <c r="Z143" s="70" t="str">
        <f>IF(SUMIFS(TrackingTime!H:H,TrackingTime!F:F,Timer!B143,TrackingTime!C:C,"Hovedkontoret")&gt;0,SUMIFS(TrackingTime!H:H,TrackingTime!F:F,Timer!B143,TrackingTime!C:C,"Hovedkontoret"),"")</f>
        <v/>
      </c>
      <c r="AA143" s="71" t="str">
        <f t="shared" ref="AA143:AA206" si="147">IFERROR(Z143/24,"")</f>
        <v/>
      </c>
      <c r="AB143" t="str">
        <f>IF(SUMIFS(TrackingTime!H:H,TrackingTime!F:F,Timer!B143,TrackingTime!C:C,Start!$F$3)&gt;0,SUMIFS(TrackingTime!H:H,TrackingTime!F:F,Timer!B143,TrackingTime!C:C,Start!$F$3),"")</f>
        <v/>
      </c>
      <c r="AC143" s="71" t="str">
        <f t="shared" si="72"/>
        <v/>
      </c>
    </row>
    <row r="144" spans="1:29" x14ac:dyDescent="0.25">
      <c r="A144" s="16">
        <f>B141-B135-1</f>
        <v>5</v>
      </c>
      <c r="B144" t="s">
        <v>117</v>
      </c>
      <c r="E144">
        <f t="shared" ca="1" si="100"/>
        <v>0</v>
      </c>
      <c r="F144" t="str">
        <f>IFERROR(IF(YEAR(B144)=Start!$B$1,MONTH(B144),""),"")</f>
        <v/>
      </c>
      <c r="G144" s="64" t="str">
        <f>IFERROR(VLOOKUP(B144,Start!A$111:B$273,2,FALSE),"")</f>
        <v/>
      </c>
      <c r="L144" s="77">
        <f t="shared" ca="1" si="92"/>
        <v>0</v>
      </c>
      <c r="O144" s="21">
        <f t="shared" ref="O144" si="148">O142-O143</f>
        <v>0</v>
      </c>
      <c r="P144" s="21"/>
      <c r="Q144" s="21"/>
      <c r="U144" s="1">
        <f t="shared" ref="U144" ca="1" si="149">U142-U143*(IF(NETWORKDAYS($B135,TODAY())&lt;0,0,IF(NETWORKDAYS($B135,TODAY())&lt;=$A144,NETWORKDAYS($B135,TODAY()),$A144)))/$A144</f>
        <v>0</v>
      </c>
      <c r="V144" s="58"/>
      <c r="W144" s="21"/>
      <c r="X144" s="21">
        <f>X142-X143</f>
        <v>0</v>
      </c>
      <c r="Z144" s="70" t="str">
        <f>IF(SUMIFS(TrackingTime!H:H,TrackingTime!F:F,Timer!B144,TrackingTime!C:C,"Hovedkontoret")&gt;0,SUMIFS(TrackingTime!H:H,TrackingTime!F:F,Timer!B144,TrackingTime!C:C,"Hovedkontoret"),"")</f>
        <v/>
      </c>
      <c r="AA144" s="71" t="str">
        <f t="shared" si="147"/>
        <v/>
      </c>
      <c r="AB144" t="str">
        <f>IF(SUMIFS(TrackingTime!H:H,TrackingTime!F:F,Timer!B144,TrackingTime!C:C,Start!$F$3)&gt;0,SUMIFS(TrackingTime!H:H,TrackingTime!F:F,Timer!B144,TrackingTime!C:C,Start!$F$3),"")</f>
        <v/>
      </c>
      <c r="AC144" s="71" t="str">
        <f t="shared" ref="AC144:AC207" si="150">IFERROR(AB144/24,"")</f>
        <v/>
      </c>
    </row>
    <row r="145" spans="1:29" x14ac:dyDescent="0.25">
      <c r="A145" s="15"/>
      <c r="E145">
        <f t="shared" ca="1" si="100"/>
        <v>1</v>
      </c>
      <c r="F145" t="str">
        <f>IFERROR(IF(YEAR(B145)=Start!$B$1,MONTH(B145),""),"")</f>
        <v/>
      </c>
      <c r="G145" s="64" t="str">
        <f>IFERROR(VLOOKUP(B145,Start!A$111:B$273,2,FALSE),"")</f>
        <v/>
      </c>
      <c r="O145" s="2"/>
      <c r="P145" s="2"/>
      <c r="U145" s="1"/>
      <c r="V145" s="7"/>
      <c r="X145" s="2"/>
      <c r="Z145" s="70" t="str">
        <f>IF(SUMIFS(TrackingTime!H:H,TrackingTime!F:F,Timer!B145,TrackingTime!C:C,"Hovedkontoret")&gt;0,SUMIFS(TrackingTime!H:H,TrackingTime!F:F,Timer!B145,TrackingTime!C:C,"Hovedkontoret"),"")</f>
        <v/>
      </c>
      <c r="AA145" s="71" t="str">
        <f t="shared" si="147"/>
        <v/>
      </c>
      <c r="AB145" t="str">
        <f>IF(SUMIFS(TrackingTime!H:H,TrackingTime!F:F,Timer!B145,TrackingTime!C:C,Start!$F$3)&gt;0,SUMIFS(TrackingTime!H:H,TrackingTime!F:F,Timer!B145,TrackingTime!C:C,Start!$F$3),"")</f>
        <v/>
      </c>
      <c r="AC145" s="71" t="str">
        <f t="shared" si="150"/>
        <v/>
      </c>
    </row>
    <row r="146" spans="1:29" x14ac:dyDescent="0.25">
      <c r="A146" s="2" t="s">
        <v>82</v>
      </c>
      <c r="B146" s="14" t="s">
        <v>83</v>
      </c>
      <c r="E146">
        <f t="shared" ca="1" si="100"/>
        <v>0</v>
      </c>
      <c r="F146" t="str">
        <f>IFERROR(IF(YEAR(B146)=Start!$B$1,MONTH(B146),""),"")</f>
        <v/>
      </c>
      <c r="G146" s="64" t="str">
        <f>IFERROR(VLOOKUP(B146,Start!A$111:B$273,2,FALSE),"")</f>
        <v/>
      </c>
      <c r="H146" s="2" t="s">
        <v>86</v>
      </c>
      <c r="I146" s="2" t="s">
        <v>125</v>
      </c>
      <c r="J146" s="2" t="s">
        <v>126</v>
      </c>
      <c r="K146" s="2" t="s">
        <v>127</v>
      </c>
      <c r="L146" s="3" t="s">
        <v>87</v>
      </c>
      <c r="M146" s="6"/>
      <c r="N146" s="2" t="s">
        <v>88</v>
      </c>
      <c r="O146" s="2" t="s">
        <v>89</v>
      </c>
      <c r="P146" s="2"/>
      <c r="Q146" s="2" t="s">
        <v>86</v>
      </c>
      <c r="R146" s="2" t="s">
        <v>125</v>
      </c>
      <c r="S146" s="2" t="s">
        <v>126</v>
      </c>
      <c r="T146" s="2" t="s">
        <v>127</v>
      </c>
      <c r="U146" s="3" t="s">
        <v>87</v>
      </c>
      <c r="V146" s="6"/>
      <c r="W146" s="2" t="s">
        <v>88</v>
      </c>
      <c r="X146" s="2" t="s">
        <v>89</v>
      </c>
      <c r="Z146" s="70" t="str">
        <f>IF(SUMIFS(TrackingTime!H:H,TrackingTime!F:F,Timer!B146,TrackingTime!C:C,"Hovedkontoret")&gt;0,SUMIFS(TrackingTime!H:H,TrackingTime!F:F,Timer!B146,TrackingTime!C:C,"Hovedkontoret"),"")</f>
        <v/>
      </c>
      <c r="AA146" s="71" t="str">
        <f t="shared" si="147"/>
        <v/>
      </c>
      <c r="AB146" t="str">
        <f>IF(SUMIFS(TrackingTime!H:H,TrackingTime!F:F,Timer!B146,TrackingTime!C:C,Start!$F$3)&gt;0,SUMIFS(TrackingTime!H:H,TrackingTime!F:F,Timer!B146,TrackingTime!C:C,Start!$F$3),"")</f>
        <v/>
      </c>
      <c r="AC146" s="71" t="str">
        <f t="shared" si="150"/>
        <v/>
      </c>
    </row>
    <row r="147" spans="1:29" x14ac:dyDescent="0.25">
      <c r="A147" s="15">
        <f>WEEKNUM(B147,21)</f>
        <v>12</v>
      </c>
      <c r="B147" s="63">
        <f>B141+(DAY(1))</f>
        <v>46097</v>
      </c>
      <c r="C147" t="str">
        <f>IFERROR(IF(OR(L147="Fri",L147="Ferie",L147="Syk",L147="Omsorg",B147&lt;Start!$B$7),0,IF(IFERROR(MATCH(B147,Start!A$253:A$273,0),0)&gt;0,VLOOKUP(B147,Start!A$253:F$273,3,FALSE)/100*Start!$B$4,VLOOKUP(WEEKDAY(B147,2),Start!A$240:F$246,4,FALSE))),"")</f>
        <v/>
      </c>
      <c r="D147" t="str">
        <f>IFERROR(IF(OR(U147="Fri",U147="Ferie",U147="Syk",U147="Omsorg",B147&lt;Start!$F$7),0,IF(IFERROR(MATCH(B147,Start!A$253:A$273,0),0)&gt;0,VLOOKUP(B147,Start!A$253:F$273,3,FALSE)/100*Start!$F$4,VLOOKUP(WEEKDAY(B147,2),Start!A$240:F$246,6,FALSE))),"")</f>
        <v/>
      </c>
      <c r="E147">
        <f t="shared" ca="1" si="100"/>
        <v>0</v>
      </c>
      <c r="F147">
        <f>IFERROR(IF(YEAR(B147)=Start!$B$1,MONTH(B147),""),"")</f>
        <v>3</v>
      </c>
      <c r="G147" s="64" t="str">
        <f>IFERROR(VLOOKUP(B147,Start!A$111:B$273,2,FALSE),"")</f>
        <v/>
      </c>
      <c r="H147" s="21"/>
      <c r="I147" s="78">
        <v>0.33333333333333331</v>
      </c>
      <c r="J147" s="78">
        <v>0.33333333333333331</v>
      </c>
      <c r="K147" s="1" t="str">
        <f>IF(Start!$B$6="Ja","",IF(((J147-I147)*24)&gt;=5.5,"X",""))</f>
        <v/>
      </c>
      <c r="L147" s="1" t="str">
        <f>IF(_xlfn.IFNA(MATCH($A147,Start!$H$3:$H$11,0),0)&gt;0,"Ferie",IFERROR(IF(VLOOKUP(B147,Start!A$165:B$234,2,FALSE)&gt;0,"Fri",0),IF(AND((J147-I147)=0,Z147=""),"",MAX((IF(K147="X",(J147-I147)*24-0.5,(J147-I147)*24)),Z147))))</f>
        <v/>
      </c>
      <c r="M147" s="58"/>
      <c r="N147" s="21" t="str">
        <f t="shared" ref="N147:N153" si="151">IF(H147=0,"",H147)</f>
        <v/>
      </c>
      <c r="O147" s="21" t="str">
        <f t="shared" ref="O147:O153" si="152">IF(L147=0,"",L147)</f>
        <v/>
      </c>
      <c r="P147" s="2"/>
      <c r="Q147" s="21"/>
      <c r="R147" s="78">
        <v>0.33333333333333331</v>
      </c>
      <c r="S147" s="78">
        <v>0.33333333333333331</v>
      </c>
      <c r="T147" s="1" t="str">
        <f>IF(Start!$B$6="Ja","",IF(((S147-R147)*24)&gt;=5.5,"X",""))</f>
        <v/>
      </c>
      <c r="U147" s="1" t="str">
        <f>IF(_xlfn.IFNA(MATCH($A$15,Start!$H$3:$H$11,0),0)&gt;0,"Ferie",(IF(L147="fri","Fri",(IF(L147="syk","Syk",IF(L147="Ferie","Ferie",IF(AND((S147-R147)=0,AB147=""),"",MAX((IF(T147="X",(S147-R147)*24-0.5,(S147-R147)*24)),AB147))))))))</f>
        <v/>
      </c>
      <c r="V147" s="58"/>
      <c r="W147" s="21" t="str">
        <f t="shared" ref="W147:W153" si="153">IF(Q147=0,"",Q147)</f>
        <v/>
      </c>
      <c r="X147" s="21" t="str">
        <f t="shared" ref="X147:X153" si="154">IF(U147=0,"",U147)</f>
        <v/>
      </c>
      <c r="Z147" s="70" t="str">
        <f>IF(SUMIFS(TrackingTime!H:H,TrackingTime!F:F,Timer!B147,TrackingTime!C:C,"Hovedkontoret")&gt;0,SUMIFS(TrackingTime!H:H,TrackingTime!F:F,Timer!B147,TrackingTime!C:C,"Hovedkontoret"),"")</f>
        <v/>
      </c>
      <c r="AA147" s="71" t="str">
        <f t="shared" si="147"/>
        <v/>
      </c>
      <c r="AB147" t="str">
        <f>IF(SUMIFS(TrackingTime!H:H,TrackingTime!F:F,Timer!B147,TrackingTime!C:C,Start!$F$3)&gt;0,SUMIFS(TrackingTime!H:H,TrackingTime!F:F,Timer!B147,TrackingTime!C:C,Start!$F$3),"")</f>
        <v/>
      </c>
      <c r="AC147" s="71" t="str">
        <f t="shared" si="150"/>
        <v/>
      </c>
    </row>
    <row r="148" spans="1:29" x14ac:dyDescent="0.25">
      <c r="A148" s="15"/>
      <c r="B148" s="63">
        <f t="shared" ref="B148:B153" si="155">B147+DAY(1)</f>
        <v>46098</v>
      </c>
      <c r="C148" t="str">
        <f>IFERROR(IF(OR(L148="Fri",L148="Ferie",L148="Syk",L148="Omsorg",B148&lt;Start!$B$7),0,IF(IFERROR(MATCH(B148,Start!A$253:A$273,0),0)&gt;0,VLOOKUP(B148,Start!A$253:F$273,3,FALSE)/100*Start!$B$4,VLOOKUP(WEEKDAY(B148,2),Start!A$240:F$246,4,FALSE))),"")</f>
        <v/>
      </c>
      <c r="D148" t="str">
        <f>IFERROR(IF(OR(U148="Fri",U148="Ferie",U148="Syk",U148="Omsorg",B148&lt;Start!$F$7),0,IF(IFERROR(MATCH(B148,Start!A$253:A$273,0),0)&gt;0,VLOOKUP(B148,Start!A$253:F$273,3,FALSE)/100*Start!$F$4,VLOOKUP(WEEKDAY(B148,2),Start!A$240:F$246,6,FALSE))),"")</f>
        <v/>
      </c>
      <c r="E148">
        <f t="shared" ca="1" si="100"/>
        <v>0</v>
      </c>
      <c r="F148">
        <f>IFERROR(IF(YEAR(B148)=Start!$B$1,MONTH(B148),""),"")</f>
        <v>3</v>
      </c>
      <c r="G148" s="64" t="str">
        <f>IFERROR(VLOOKUP(B148,Start!A$111:B$273,2,FALSE),"")</f>
        <v/>
      </c>
      <c r="H148" s="21"/>
      <c r="I148" s="78">
        <v>0.33333333333333331</v>
      </c>
      <c r="J148" s="78">
        <v>0.33333333333333331</v>
      </c>
      <c r="K148" s="1" t="str">
        <f>IF(Start!$B$6="Ja","",IF(((J148-I148)*24)&gt;=5.5,"X",""))</f>
        <v/>
      </c>
      <c r="L148" s="1" t="str">
        <f>IF(_xlfn.IFNA(MATCH($A147,Start!$H$3:$H$11,0),0)&gt;0,"Ferie",IFERROR(IF(VLOOKUP($B148,Start!$A$165:$B$234,2,FALSE)&gt;0,"Fri",0),IF(AND((J148-I148)=0,Z148=""),"",MAX((IF(K148="X",(J148-I148)*24-0.5,(J148-I148)*24)),Z148))))</f>
        <v/>
      </c>
      <c r="M148" s="58"/>
      <c r="N148" s="21" t="str">
        <f t="shared" si="151"/>
        <v/>
      </c>
      <c r="O148" s="21" t="str">
        <f t="shared" si="152"/>
        <v/>
      </c>
      <c r="P148" s="2"/>
      <c r="Q148" s="21"/>
      <c r="R148" s="78">
        <v>0.33333333333333331</v>
      </c>
      <c r="S148" s="78">
        <v>0.33333333333333331</v>
      </c>
      <c r="T148" s="1" t="str">
        <f>IF(Start!$B$6="Ja","",IF(((S148-R148)*24)&gt;=5.5,"X",""))</f>
        <v/>
      </c>
      <c r="U148" s="1" t="str">
        <f>IF(_xlfn.IFNA(MATCH($A$15,Start!$H$3:$H$11,0),0)&gt;0,"Ferie",(IF(L148="fri","Fri",(IF(L148="syk","Syk",IF(L148="Ferie","Ferie",IF(AND((S148-R148)=0,AB148=""),"",MAX((IF(T148="X",(S148-R148)*24-0.5,(S148-R148)*24)),AB148))))))))</f>
        <v/>
      </c>
      <c r="V148" s="58"/>
      <c r="W148" s="21" t="str">
        <f t="shared" si="153"/>
        <v/>
      </c>
      <c r="X148" s="21" t="str">
        <f t="shared" si="154"/>
        <v/>
      </c>
      <c r="Z148" s="70" t="str">
        <f>IF(SUMIFS(TrackingTime!H:H,TrackingTime!F:F,Timer!B148,TrackingTime!C:C,"Hovedkontoret")&gt;0,SUMIFS(TrackingTime!H:H,TrackingTime!F:F,Timer!B148,TrackingTime!C:C,"Hovedkontoret"),"")</f>
        <v/>
      </c>
      <c r="AA148" s="71" t="str">
        <f t="shared" si="147"/>
        <v/>
      </c>
      <c r="AB148" t="str">
        <f>IF(SUMIFS(TrackingTime!H:H,TrackingTime!F:F,Timer!B148,TrackingTime!C:C,Start!$F$3)&gt;0,SUMIFS(TrackingTime!H:H,TrackingTime!F:F,Timer!B148,TrackingTime!C:C,Start!$F$3),"")</f>
        <v/>
      </c>
      <c r="AC148" s="71" t="str">
        <f t="shared" si="150"/>
        <v/>
      </c>
    </row>
    <row r="149" spans="1:29" x14ac:dyDescent="0.25">
      <c r="A149" s="15"/>
      <c r="B149" s="63">
        <f t="shared" si="155"/>
        <v>46099</v>
      </c>
      <c r="C149" t="str">
        <f>IFERROR(IF(OR(L149="Fri",L149="Ferie",L149="Syk",L149="Omsorg",B149&lt;Start!$B$7),0,IF(IFERROR(MATCH(B149,Start!A$253:A$273,0),0)&gt;0,VLOOKUP(B149,Start!A$253:F$273,3,FALSE)/100*Start!$B$4,VLOOKUP(WEEKDAY(B149,2),Start!A$240:F$246,4,FALSE))),"")</f>
        <v/>
      </c>
      <c r="D149" t="str">
        <f>IFERROR(IF(OR(U149="Fri",U149="Ferie",U149="Syk",U149="Omsorg",B149&lt;Start!$F$7),0,IF(IFERROR(MATCH(B149,Start!A$253:A$273,0),0)&gt;0,VLOOKUP(B149,Start!A$253:F$273,3,FALSE)/100*Start!$F$4,VLOOKUP(WEEKDAY(B149,2),Start!A$240:F$246,6,FALSE))),"")</f>
        <v/>
      </c>
      <c r="E149">
        <f t="shared" ca="1" si="100"/>
        <v>0</v>
      </c>
      <c r="F149">
        <f>IFERROR(IF(YEAR(B149)=Start!$B$1,MONTH(B149),""),"")</f>
        <v>3</v>
      </c>
      <c r="G149" s="64" t="str">
        <f>IFERROR(VLOOKUP(B149,Start!A$111:B$273,2,FALSE),"")</f>
        <v/>
      </c>
      <c r="H149" s="21"/>
      <c r="I149" s="78">
        <v>0.33333333333333331</v>
      </c>
      <c r="J149" s="78">
        <v>0.33333333333333331</v>
      </c>
      <c r="K149" s="1" t="str">
        <f>IF(Start!$B$6="Ja","",IF(((J149-I149)*24)&gt;=5.5,"X",""))</f>
        <v/>
      </c>
      <c r="L149" s="1" t="str">
        <f>IF(_xlfn.IFNA(MATCH($A147,Start!$H$3:$H$11,0),0)&gt;0,"Ferie",IFERROR(IF(VLOOKUP(B149,Start!A$165:B$234,2,FALSE)&gt;0,"Fri",0),IF(AND((J149-I149)=0,Z149=""),"",MAX((IF(K149="X",(J149-I149)*24-0.5,(J149-I149)*24)),Z149))))</f>
        <v/>
      </c>
      <c r="M149" s="58"/>
      <c r="N149" s="21" t="str">
        <f t="shared" si="151"/>
        <v/>
      </c>
      <c r="O149" s="21" t="str">
        <f t="shared" si="152"/>
        <v/>
      </c>
      <c r="P149" s="2"/>
      <c r="Q149" s="21"/>
      <c r="R149" s="78">
        <v>0.33333333333333331</v>
      </c>
      <c r="S149" s="78">
        <v>0.33333333333333331</v>
      </c>
      <c r="T149" s="1" t="str">
        <f>IF(Start!$B$6="Ja","",IF(((S149-R149)*24)&gt;=5.5,"X",""))</f>
        <v/>
      </c>
      <c r="U149" s="1" t="str">
        <f>IF(_xlfn.IFNA(MATCH($A$15,Start!$H$3:$H$11,0),0)&gt;0,"Ferie",(IF(L149="fri","Fri",(IF(L149="syk","Syk",IF(L149="Ferie","Ferie",IF(AND((S149-R149)=0,AB149=""),"",MAX((IF(T149="X",(S149-R149)*24-0.5,(S149-R149)*24)),AB149))))))))</f>
        <v/>
      </c>
      <c r="V149" s="58"/>
      <c r="W149" s="21" t="str">
        <f t="shared" si="153"/>
        <v/>
      </c>
      <c r="X149" s="21" t="str">
        <f t="shared" si="154"/>
        <v/>
      </c>
      <c r="Z149" s="70" t="str">
        <f>IF(SUMIFS(TrackingTime!H:H,TrackingTime!F:F,Timer!B149,TrackingTime!C:C,"Hovedkontoret")&gt;0,SUMIFS(TrackingTime!H:H,TrackingTime!F:F,Timer!B149,TrackingTime!C:C,"Hovedkontoret"),"")</f>
        <v/>
      </c>
      <c r="AA149" s="71" t="str">
        <f t="shared" si="147"/>
        <v/>
      </c>
      <c r="AB149" t="str">
        <f>IF(SUMIFS(TrackingTime!H:H,TrackingTime!F:F,Timer!B149,TrackingTime!C:C,Start!$F$3)&gt;0,SUMIFS(TrackingTime!H:H,TrackingTime!F:F,Timer!B149,TrackingTime!C:C,Start!$F$3),"")</f>
        <v/>
      </c>
      <c r="AC149" s="71" t="str">
        <f t="shared" si="150"/>
        <v/>
      </c>
    </row>
    <row r="150" spans="1:29" x14ac:dyDescent="0.25">
      <c r="A150" s="15"/>
      <c r="B150" s="63">
        <f t="shared" si="155"/>
        <v>46100</v>
      </c>
      <c r="C150" t="str">
        <f>IFERROR(IF(OR(L150="Fri",L150="Ferie",L150="Syk",L150="Omsorg",B150&lt;Start!$B$7),0,IF(IFERROR(MATCH(B150,Start!A$253:A$273,0),0)&gt;0,VLOOKUP(B150,Start!A$253:F$273,3,FALSE)/100*Start!$B$4,VLOOKUP(WEEKDAY(B150,2),Start!A$240:F$246,4,FALSE))),"")</f>
        <v/>
      </c>
      <c r="D150" t="str">
        <f>IFERROR(IF(OR(U150="Fri",U150="Ferie",U150="Syk",U150="Omsorg",B150&lt;Start!$F$7),0,IF(IFERROR(MATCH(B150,Start!A$253:A$273,0),0)&gt;0,VLOOKUP(B150,Start!A$253:F$273,3,FALSE)/100*Start!$F$4,VLOOKUP(WEEKDAY(B150,2),Start!A$240:F$246,6,FALSE))),"")</f>
        <v/>
      </c>
      <c r="E150">
        <f t="shared" ca="1" si="100"/>
        <v>0</v>
      </c>
      <c r="F150">
        <f>IFERROR(IF(YEAR(B150)=Start!$B$1,MONTH(B150),""),"")</f>
        <v>3</v>
      </c>
      <c r="G150" s="64" t="str">
        <f>IFERROR(VLOOKUP(B150,Start!A$111:B$273,2,FALSE),"")</f>
        <v/>
      </c>
      <c r="H150" s="21"/>
      <c r="I150" s="78">
        <v>0.33333333333333331</v>
      </c>
      <c r="J150" s="78">
        <v>0.33333333333333331</v>
      </c>
      <c r="K150" s="1" t="str">
        <f>IF(Start!$B$6="Ja","",IF(((J150-I150)*24)&gt;=5.5,"X",""))</f>
        <v/>
      </c>
      <c r="L150" s="1" t="str">
        <f>IF(_xlfn.IFNA(MATCH($A147,Start!$H$3:$H$11,0),0)&gt;0,"Ferie",IFERROR(IF(VLOOKUP(B150,Start!A$165:B$234,2,FALSE)&gt;0,"Fri",0),IF(AND((J150-I150)=0,Z150=""),"",MAX((IF(K150="X",(J150-I150)*24-0.5,(J150-I150)*24)),Z150))))</f>
        <v/>
      </c>
      <c r="M150" s="58"/>
      <c r="N150" s="21" t="str">
        <f t="shared" si="151"/>
        <v/>
      </c>
      <c r="O150" s="21" t="str">
        <f t="shared" si="152"/>
        <v/>
      </c>
      <c r="P150" s="2"/>
      <c r="Q150" s="21"/>
      <c r="R150" s="78">
        <v>0.33333333333333331</v>
      </c>
      <c r="S150" s="78">
        <v>0.33333333333333331</v>
      </c>
      <c r="T150" s="1" t="str">
        <f>IF(Start!$B$6="Ja","",IF(((S150-R150)*24)&gt;=5.5,"X",""))</f>
        <v/>
      </c>
      <c r="U150" s="1" t="str">
        <f>IF(_xlfn.IFNA(MATCH($A$15,Start!$H$3:$H$11,0),0)&gt;0,"Ferie",(IF(L150="fri","Fri",(IF(L150="syk","Syk",IF(L150="Ferie","Ferie",IF(AND((S150-R150)=0,AB150=""),"",MAX((IF(T150="X",(S150-R150)*24-0.5,(S150-R150)*24)),AB150))))))))</f>
        <v/>
      </c>
      <c r="V150" s="58"/>
      <c r="W150" s="21" t="str">
        <f t="shared" si="153"/>
        <v/>
      </c>
      <c r="X150" s="21" t="str">
        <f t="shared" si="154"/>
        <v/>
      </c>
      <c r="Z150" s="70" t="str">
        <f>IF(SUMIFS(TrackingTime!H:H,TrackingTime!F:F,Timer!B150,TrackingTime!C:C,"Hovedkontoret")&gt;0,SUMIFS(TrackingTime!H:H,TrackingTime!F:F,Timer!B150,TrackingTime!C:C,"Hovedkontoret"),"")</f>
        <v/>
      </c>
      <c r="AA150" s="71" t="str">
        <f t="shared" si="147"/>
        <v/>
      </c>
      <c r="AB150" t="str">
        <f>IF(SUMIFS(TrackingTime!H:H,TrackingTime!F:F,Timer!B150,TrackingTime!C:C,Start!$F$3)&gt;0,SUMIFS(TrackingTime!H:H,TrackingTime!F:F,Timer!B150,TrackingTime!C:C,Start!$F$3),"")</f>
        <v/>
      </c>
      <c r="AC150" s="71" t="str">
        <f t="shared" si="150"/>
        <v/>
      </c>
    </row>
    <row r="151" spans="1:29" x14ac:dyDescent="0.25">
      <c r="A151" s="15"/>
      <c r="B151" s="63">
        <f t="shared" si="155"/>
        <v>46101</v>
      </c>
      <c r="C151" t="str">
        <f>IFERROR(IF(OR(L151="Fri",L151="Ferie",L151="Syk",L151="Omsorg",B151&lt;Start!$B$7),0,IF(IFERROR(MATCH(B151,Start!A$253:A$273,0),0)&gt;0,VLOOKUP(B151,Start!A$253:F$273,3,FALSE)/100*Start!$B$4,VLOOKUP(WEEKDAY(B151,2),Start!A$240:F$246,4,FALSE))),"")</f>
        <v/>
      </c>
      <c r="D151" t="str">
        <f>IFERROR(IF(OR(U151="Fri",U151="Ferie",U151="Syk",U151="Omsorg",B151&lt;Start!$F$7),0,IF(IFERROR(MATCH(B151,Start!A$253:A$273,0),0)&gt;0,VLOOKUP(B151,Start!A$253:F$273,3,FALSE)/100*Start!$F$4,VLOOKUP(WEEKDAY(B151,2),Start!A$240:F$246,6,FALSE))),"")</f>
        <v/>
      </c>
      <c r="E151">
        <f t="shared" ca="1" si="100"/>
        <v>0</v>
      </c>
      <c r="F151">
        <f>IFERROR(IF(YEAR(B151)=Start!$B$1,MONTH(B151),""),"")</f>
        <v>3</v>
      </c>
      <c r="G151" s="64" t="str">
        <f>IFERROR(VLOOKUP(B151,Start!A$111:B$273,2,FALSE),"")</f>
        <v/>
      </c>
      <c r="H151" s="21"/>
      <c r="I151" s="78">
        <v>0.33333333333333331</v>
      </c>
      <c r="J151" s="78">
        <v>0.33333333333333331</v>
      </c>
      <c r="K151" s="1" t="str">
        <f>IF(Start!$B$6="Ja","",IF(((J151-I151)*24)&gt;=5.5,"X",""))</f>
        <v/>
      </c>
      <c r="L151" s="1" t="str">
        <f>IF(_xlfn.IFNA(MATCH($A147,Start!$H$3:$H$11,0),0)&gt;0,"Ferie",IFERROR(IF(VLOOKUP(B151,Start!A$165:B$234,2,FALSE)&gt;0,"Fri",0),IF(AND((J151-I151)=0,Z151=""),"",MAX((IF(K151="X",(J151-I151)*24-0.5,(J151-I151)*24)),Z151))))</f>
        <v/>
      </c>
      <c r="M151" s="58"/>
      <c r="N151" s="21" t="str">
        <f t="shared" si="151"/>
        <v/>
      </c>
      <c r="O151" s="21" t="str">
        <f t="shared" si="152"/>
        <v/>
      </c>
      <c r="P151" s="2"/>
      <c r="Q151" s="21"/>
      <c r="R151" s="78">
        <v>0.33333333333333331</v>
      </c>
      <c r="S151" s="78">
        <v>0.33333333333333331</v>
      </c>
      <c r="T151" s="1" t="str">
        <f>IF(Start!$B$6="Ja","",IF(((S151-R151)*24)&gt;=5.5,"X",""))</f>
        <v/>
      </c>
      <c r="U151" s="1" t="str">
        <f>IF(_xlfn.IFNA(MATCH($A$15,Start!$H$3:$H$11,0),0)&gt;0,"Ferie",(IF(L151="fri","Fri",(IF(L151="syk","Syk",IF(L151="Ferie","Ferie",IF(AND((S151-R151)=0,AB151=""),"",MAX((IF(T151="X",(S151-R151)*24-0.5,(S151-R151)*24)),AB151))))))))</f>
        <v/>
      </c>
      <c r="V151" s="58"/>
      <c r="W151" s="21" t="str">
        <f t="shared" si="153"/>
        <v/>
      </c>
      <c r="X151" s="21" t="str">
        <f t="shared" si="154"/>
        <v/>
      </c>
      <c r="Z151" s="70" t="str">
        <f>IF(SUMIFS(TrackingTime!H:H,TrackingTime!F:F,Timer!B151,TrackingTime!C:C,"Hovedkontoret")&gt;0,SUMIFS(TrackingTime!H:H,TrackingTime!F:F,Timer!B151,TrackingTime!C:C,"Hovedkontoret"),"")</f>
        <v/>
      </c>
      <c r="AA151" s="71" t="str">
        <f t="shared" si="147"/>
        <v/>
      </c>
      <c r="AB151" t="str">
        <f>IF(SUMIFS(TrackingTime!H:H,TrackingTime!F:F,Timer!B151,TrackingTime!C:C,Start!$F$3)&gt;0,SUMIFS(TrackingTime!H:H,TrackingTime!F:F,Timer!B151,TrackingTime!C:C,Start!$F$3),"")</f>
        <v/>
      </c>
      <c r="AC151" s="71" t="str">
        <f t="shared" si="150"/>
        <v/>
      </c>
    </row>
    <row r="152" spans="1:29" x14ac:dyDescent="0.25">
      <c r="A152" s="15"/>
      <c r="B152" s="63">
        <f t="shared" si="155"/>
        <v>46102</v>
      </c>
      <c r="C152">
        <f>IFERROR(IF(OR(L152="Fri",L152="Ferie",L152="Syk",L152="Omsorg",B152&lt;Start!$B$7),0,IF(IFERROR(MATCH(B152,Start!A$253:A$273,0),0)&gt;0,VLOOKUP(B152,Start!A$253:F$273,3,FALSE)/100*Start!$B$4,VLOOKUP(WEEKDAY(B152,2),Start!A$240:F$246,4,FALSE))),"")</f>
        <v>0</v>
      </c>
      <c r="D152">
        <f>IFERROR(IF(OR(U152="Fri",U152="Ferie",U152="Syk",U152="Omsorg",B152&lt;Start!$F$7),0,IF(IFERROR(MATCH(B152,Start!A$253:A$273,0),0)&gt;0,VLOOKUP(B152,Start!A$253:F$273,3,FALSE)/100*Start!$F$4,VLOOKUP(WEEKDAY(B152,2),Start!A$240:F$246,6,FALSE))),"")</f>
        <v>0</v>
      </c>
      <c r="E152">
        <f t="shared" ca="1" si="100"/>
        <v>0</v>
      </c>
      <c r="F152">
        <f>IFERROR(IF(YEAR(B152)=Start!$B$1,MONTH(B152),""),"")</f>
        <v>3</v>
      </c>
      <c r="G152" s="64" t="str">
        <f>IFERROR(VLOOKUP(B152,Start!A$111:B$273,2,FALSE),"")</f>
        <v/>
      </c>
      <c r="H152" s="21"/>
      <c r="I152" s="78">
        <v>0.41666666666666669</v>
      </c>
      <c r="J152" s="78">
        <v>0.41666666666666669</v>
      </c>
      <c r="K152" s="1" t="str">
        <f>IF(Start!$B$6="Ja","",IF(((J152-I152)*24)&gt;=5.5,"X",""))</f>
        <v/>
      </c>
      <c r="L152" s="1" t="str">
        <f>IF(AND((J152-I152)=0,Z152=""),"",MAX((IF(K152="X",(J152-I152)*24-0.5,(J152-I152)*24)),Z152))</f>
        <v/>
      </c>
      <c r="M152" s="58"/>
      <c r="N152" s="21" t="str">
        <f t="shared" si="151"/>
        <v/>
      </c>
      <c r="O152" s="21" t="str">
        <f t="shared" si="152"/>
        <v/>
      </c>
      <c r="P152" s="2"/>
      <c r="Q152" s="21"/>
      <c r="R152" s="78">
        <v>0.41666666666666669</v>
      </c>
      <c r="S152" s="78">
        <v>0.41666666666666669</v>
      </c>
      <c r="T152" s="1" t="str">
        <f>IF(Start!$B$6="Ja","",IF(((S152-R152)*24)&gt;=5.5,"X",""))</f>
        <v/>
      </c>
      <c r="U152" s="1" t="str">
        <f t="shared" ref="U152:U153" si="156">IF(AND((S152-R152)=0,AB152=""),"",MAX((IF(T152="X",(S152-R152)*24-0.5,(S152-R152)*24)),AB152))</f>
        <v/>
      </c>
      <c r="V152" s="58"/>
      <c r="W152" s="21" t="str">
        <f t="shared" si="153"/>
        <v/>
      </c>
      <c r="X152" s="21" t="str">
        <f t="shared" si="154"/>
        <v/>
      </c>
      <c r="Z152" s="70" t="str">
        <f>IF(SUMIFS(TrackingTime!H:H,TrackingTime!F:F,Timer!B152,TrackingTime!C:C,"Hovedkontoret")&gt;0,SUMIFS(TrackingTime!H:H,TrackingTime!F:F,Timer!B152,TrackingTime!C:C,"Hovedkontoret"),"")</f>
        <v/>
      </c>
      <c r="AA152" s="71" t="str">
        <f t="shared" si="147"/>
        <v/>
      </c>
      <c r="AB152" t="str">
        <f>IF(SUMIFS(TrackingTime!H:H,TrackingTime!F:F,Timer!B152,TrackingTime!C:C,Start!$F$3)&gt;0,SUMIFS(TrackingTime!H:H,TrackingTime!F:F,Timer!B152,TrackingTime!C:C,Start!$F$3),"")</f>
        <v/>
      </c>
      <c r="AC152" s="71" t="str">
        <f t="shared" si="150"/>
        <v/>
      </c>
    </row>
    <row r="153" spans="1:29" x14ac:dyDescent="0.25">
      <c r="A153" s="15"/>
      <c r="B153" s="63">
        <f t="shared" si="155"/>
        <v>46103</v>
      </c>
      <c r="C153">
        <f>IFERROR(IF(OR(L153="Fri",L153="Ferie",L153="Syk",L153="Omsorg",B153&lt;Start!$B$7),0,IF(IFERROR(MATCH(B153,Start!A$253:A$273,0),0)&gt;0,VLOOKUP(B153,Start!A$253:F$273,3,FALSE)/100*Start!$B$4,VLOOKUP(WEEKDAY(B153,2),Start!A$240:F$246,4,FALSE))),"")</f>
        <v>0</v>
      </c>
      <c r="D153">
        <f>IFERROR(IF(OR(U153="Fri",U153="Ferie",U153="Syk",U153="Omsorg",B153&lt;Start!$F$7),0,IF(IFERROR(MATCH(B153,Start!A$253:A$273,0),0)&gt;0,VLOOKUP(B153,Start!A$253:F$273,3,FALSE)/100*Start!$F$4,VLOOKUP(WEEKDAY(B153,2),Start!A$240:F$246,6,FALSE))),"")</f>
        <v>0</v>
      </c>
      <c r="E153">
        <f t="shared" ca="1" si="100"/>
        <v>0</v>
      </c>
      <c r="F153">
        <f>IFERROR(IF(YEAR(B153)=Start!$B$1,MONTH(B153),""),"")</f>
        <v>3</v>
      </c>
      <c r="G153" s="64" t="str">
        <f>IFERROR(VLOOKUP(B153,Start!A$111:B$273,2,FALSE),"")</f>
        <v/>
      </c>
      <c r="H153" s="25"/>
      <c r="I153" s="78">
        <v>0.41666666666666669</v>
      </c>
      <c r="J153" s="78">
        <v>0.41666666666666669</v>
      </c>
      <c r="K153" s="1" t="str">
        <f>IF(Start!$B$6="Ja","",IF(((J153-I153)*24)&gt;=5.5,"X",""))</f>
        <v/>
      </c>
      <c r="L153" s="1" t="str">
        <f>IF(AND((J153-I153)=0,Z153=""),"",MAX((IF(K153="X",(J153-I153)*24-0.5,(J153-I153)*24)),Z153))</f>
        <v/>
      </c>
      <c r="M153" s="58"/>
      <c r="N153" s="21" t="str">
        <f t="shared" si="151"/>
        <v/>
      </c>
      <c r="O153" s="21" t="str">
        <f t="shared" si="152"/>
        <v/>
      </c>
      <c r="Q153" s="25"/>
      <c r="R153" s="78">
        <v>0.41666666666666669</v>
      </c>
      <c r="S153" s="78">
        <v>0.41666666666666669</v>
      </c>
      <c r="T153" s="1" t="str">
        <f>IF(Start!$B$6="Ja","",IF(((S153-R153)*24)&gt;=5.5,"X",""))</f>
        <v/>
      </c>
      <c r="U153" s="1" t="str">
        <f t="shared" si="156"/>
        <v/>
      </c>
      <c r="V153" s="58"/>
      <c r="W153" s="21" t="str">
        <f t="shared" si="153"/>
        <v/>
      </c>
      <c r="X153" s="21" t="str">
        <f t="shared" si="154"/>
        <v/>
      </c>
      <c r="Z153" s="70" t="str">
        <f>IF(SUMIFS(TrackingTime!H:H,TrackingTime!F:F,Timer!B153,TrackingTime!C:C,"Hovedkontoret")&gt;0,SUMIFS(TrackingTime!H:H,TrackingTime!F:F,Timer!B153,TrackingTime!C:C,"Hovedkontoret"),"")</f>
        <v/>
      </c>
      <c r="AA153" s="71" t="str">
        <f t="shared" si="147"/>
        <v/>
      </c>
      <c r="AB153" t="str">
        <f>IF(SUMIFS(TrackingTime!H:H,TrackingTime!F:F,Timer!B153,TrackingTime!C:C,Start!$F$3)&gt;0,SUMIFS(TrackingTime!H:H,TrackingTime!F:F,Timer!B153,TrackingTime!C:C,Start!$F$3),"")</f>
        <v/>
      </c>
      <c r="AC153" s="71" t="str">
        <f t="shared" si="150"/>
        <v/>
      </c>
    </row>
    <row r="154" spans="1:29" x14ac:dyDescent="0.25">
      <c r="A154" s="15"/>
      <c r="B154" s="4" t="s">
        <v>11</v>
      </c>
      <c r="C154" s="24"/>
      <c r="D154" s="24"/>
      <c r="E154" s="24">
        <f t="shared" ca="1" si="100"/>
        <v>0</v>
      </c>
      <c r="F154" s="24" t="str">
        <f>IFERROR(IF(YEAR(B154)=Start!$B$1,MONTH(B154),""),"")</f>
        <v/>
      </c>
      <c r="G154" s="64" t="str">
        <f>IFERROR(VLOOKUP(B154,Start!A$111:B$273,2,FALSE),"")</f>
        <v/>
      </c>
      <c r="H154" s="4"/>
      <c r="I154" s="4"/>
      <c r="J154" s="4"/>
      <c r="K154" s="4"/>
      <c r="L154" s="5">
        <f t="shared" ref="L154" si="157">SUM($L147:$L153)</f>
        <v>0</v>
      </c>
      <c r="N154" s="24"/>
      <c r="O154" s="39">
        <f t="shared" ref="O154" si="158">SUM(O147:O153)</f>
        <v>0</v>
      </c>
      <c r="P154" s="40"/>
      <c r="Q154" s="41"/>
      <c r="R154" s="4"/>
      <c r="S154" s="4"/>
      <c r="T154" s="4"/>
      <c r="U154" s="5">
        <f t="shared" ref="U154" si="159">SUM($U147:$U153)</f>
        <v>0</v>
      </c>
      <c r="V154" s="58"/>
      <c r="W154" s="39"/>
      <c r="X154" s="39">
        <f t="shared" si="105"/>
        <v>0</v>
      </c>
      <c r="Z154" s="70" t="str">
        <f>IF(SUMIFS(TrackingTime!H:H,TrackingTime!F:F,Timer!B154,TrackingTime!C:C,"Hovedkontoret")&gt;0,SUMIFS(TrackingTime!H:H,TrackingTime!F:F,Timer!B154,TrackingTime!C:C,"Hovedkontoret"),"")</f>
        <v/>
      </c>
      <c r="AA154" s="71" t="str">
        <f t="shared" si="147"/>
        <v/>
      </c>
      <c r="AB154" t="str">
        <f>IF(SUMIFS(TrackingTime!H:H,TrackingTime!F:F,Timer!B154,TrackingTime!C:C,Start!$F$3)&gt;0,SUMIFS(TrackingTime!H:H,TrackingTime!F:F,Timer!B154,TrackingTime!C:C,Start!$F$3),"")</f>
        <v/>
      </c>
      <c r="AC154" s="71" t="str">
        <f t="shared" si="150"/>
        <v/>
      </c>
    </row>
    <row r="155" spans="1:29" x14ac:dyDescent="0.25">
      <c r="A155" s="15"/>
      <c r="B155" t="s">
        <v>90</v>
      </c>
      <c r="E155">
        <f t="shared" ca="1" si="100"/>
        <v>0</v>
      </c>
      <c r="F155" t="str">
        <f>IFERROR(IF(YEAR(B155)=Start!$B$1,MONTH(B155),""),"")</f>
        <v/>
      </c>
      <c r="G155" s="64" t="str">
        <f>IFERROR(VLOOKUP(B155,Start!A$111:B$273,2,FALSE),"")</f>
        <v/>
      </c>
      <c r="L155" s="1">
        <f t="shared" ref="L155" si="160">SUMIFS(C147:C153,F147:F153,"&gt;0")</f>
        <v>0</v>
      </c>
      <c r="M155" s="1"/>
      <c r="N155" s="1"/>
      <c r="O155" s="21">
        <f t="shared" ref="O155" si="161">L155</f>
        <v>0</v>
      </c>
      <c r="P155" s="40"/>
      <c r="Q155" s="21"/>
      <c r="U155" s="1">
        <f t="shared" ref="U155" si="162">SUMIFS(D147:D153,F147:F153,"&gt;0")</f>
        <v>0</v>
      </c>
      <c r="V155" s="1"/>
      <c r="W155" s="1"/>
      <c r="X155" s="21">
        <f>U155</f>
        <v>0</v>
      </c>
      <c r="Z155" s="70" t="str">
        <f>IF(SUMIFS(TrackingTime!H:H,TrackingTime!F:F,Timer!B155,TrackingTime!C:C,"Hovedkontoret")&gt;0,SUMIFS(TrackingTime!H:H,TrackingTime!F:F,Timer!B155,TrackingTime!C:C,"Hovedkontoret"),"")</f>
        <v/>
      </c>
      <c r="AA155" s="71" t="str">
        <f t="shared" si="147"/>
        <v/>
      </c>
      <c r="AB155" t="str">
        <f>IF(SUMIFS(TrackingTime!H:H,TrackingTime!F:F,Timer!B155,TrackingTime!C:C,Start!$F$3)&gt;0,SUMIFS(TrackingTime!H:H,TrackingTime!F:F,Timer!B155,TrackingTime!C:C,Start!$F$3),"")</f>
        <v/>
      </c>
      <c r="AC155" s="71" t="str">
        <f t="shared" si="150"/>
        <v/>
      </c>
    </row>
    <row r="156" spans="1:29" x14ac:dyDescent="0.25">
      <c r="A156" s="16">
        <f>B153-B147-1</f>
        <v>5</v>
      </c>
      <c r="B156" t="s">
        <v>117</v>
      </c>
      <c r="E156">
        <f t="shared" ca="1" si="100"/>
        <v>0</v>
      </c>
      <c r="F156" t="str">
        <f>IFERROR(IF(YEAR(B156)=Start!$B$1,MONTH(B156),""),"")</f>
        <v/>
      </c>
      <c r="G156" s="64" t="str">
        <f>IFERROR(VLOOKUP(B156,Start!A$111:B$273,2,FALSE),"")</f>
        <v/>
      </c>
      <c r="L156" s="77">
        <f t="shared" ref="L156" ca="1" si="163">L154-L155*(IF(NETWORKDAYS($B147,TODAY())&lt;0,0,IF(NETWORKDAYS($B147,TODAY())&lt;=$A156,NETWORKDAYS($B147,TODAY()),$A156)))/$A156</f>
        <v>0</v>
      </c>
      <c r="O156" s="21">
        <f t="shared" ref="O156" si="164">O154-O155</f>
        <v>0</v>
      </c>
      <c r="P156" s="21"/>
      <c r="Q156" s="21"/>
      <c r="U156" s="1">
        <f t="shared" ref="U156" ca="1" si="165">U154-U155*(IF(NETWORKDAYS($B147,TODAY())&lt;0,0,IF(NETWORKDAYS($B147,TODAY())&lt;=$A156,NETWORKDAYS($B147,TODAY()),$A156)))/$A156</f>
        <v>0</v>
      </c>
      <c r="V156" s="58"/>
      <c r="W156" s="21"/>
      <c r="X156" s="21">
        <f>X154-X155</f>
        <v>0</v>
      </c>
      <c r="Z156" s="70" t="str">
        <f>IF(SUMIFS(TrackingTime!H:H,TrackingTime!F:F,Timer!B156,TrackingTime!C:C,"Hovedkontoret")&gt;0,SUMIFS(TrackingTime!H:H,TrackingTime!F:F,Timer!B156,TrackingTime!C:C,"Hovedkontoret"),"")</f>
        <v/>
      </c>
      <c r="AA156" s="71" t="str">
        <f t="shared" si="147"/>
        <v/>
      </c>
      <c r="AB156" t="str">
        <f>IF(SUMIFS(TrackingTime!H:H,TrackingTime!F:F,Timer!B156,TrackingTime!C:C,Start!$F$3)&gt;0,SUMIFS(TrackingTime!H:H,TrackingTime!F:F,Timer!B156,TrackingTime!C:C,Start!$F$3),"")</f>
        <v/>
      </c>
      <c r="AC156" s="71" t="str">
        <f t="shared" si="150"/>
        <v/>
      </c>
    </row>
    <row r="157" spans="1:29" x14ac:dyDescent="0.25">
      <c r="A157" s="15"/>
      <c r="E157">
        <f t="shared" ca="1" si="100"/>
        <v>1</v>
      </c>
      <c r="F157" t="str">
        <f>IFERROR(IF(YEAR(B157)=Start!$B$1,MONTH(B157),""),"")</f>
        <v/>
      </c>
      <c r="G157" s="64" t="str">
        <f>IFERROR(VLOOKUP(B157,Start!A$111:B$273,2,FALSE),"")</f>
        <v/>
      </c>
      <c r="O157" s="2"/>
      <c r="P157" s="2"/>
      <c r="U157" s="1"/>
      <c r="V157" s="7"/>
      <c r="X157" s="2"/>
      <c r="Z157" s="70" t="str">
        <f>IF(SUMIFS(TrackingTime!H:H,TrackingTime!F:F,Timer!B157,TrackingTime!C:C,"Hovedkontoret")&gt;0,SUMIFS(TrackingTime!H:H,TrackingTime!F:F,Timer!B157,TrackingTime!C:C,"Hovedkontoret"),"")</f>
        <v/>
      </c>
      <c r="AA157" s="71" t="str">
        <f t="shared" si="147"/>
        <v/>
      </c>
      <c r="AB157" t="str">
        <f>IF(SUMIFS(TrackingTime!H:H,TrackingTime!F:F,Timer!B157,TrackingTime!C:C,Start!$F$3)&gt;0,SUMIFS(TrackingTime!H:H,TrackingTime!F:F,Timer!B157,TrackingTime!C:C,Start!$F$3),"")</f>
        <v/>
      </c>
      <c r="AC157" s="71" t="str">
        <f t="shared" si="150"/>
        <v/>
      </c>
    </row>
    <row r="158" spans="1:29" x14ac:dyDescent="0.25">
      <c r="A158" s="2" t="s">
        <v>82</v>
      </c>
      <c r="B158" s="14" t="s">
        <v>83</v>
      </c>
      <c r="E158">
        <f t="shared" ca="1" si="100"/>
        <v>0</v>
      </c>
      <c r="F158" t="str">
        <f>IFERROR(IF(YEAR(B158)=Start!$B$1,MONTH(B158),""),"")</f>
        <v/>
      </c>
      <c r="G158" s="64" t="str">
        <f>IFERROR(VLOOKUP(B158,Start!A$111:B$273,2,FALSE),"")</f>
        <v/>
      </c>
      <c r="H158" s="2" t="s">
        <v>86</v>
      </c>
      <c r="I158" s="2" t="s">
        <v>125</v>
      </c>
      <c r="J158" s="2" t="s">
        <v>126</v>
      </c>
      <c r="K158" s="2" t="s">
        <v>127</v>
      </c>
      <c r="L158" s="3" t="s">
        <v>87</v>
      </c>
      <c r="M158" s="6"/>
      <c r="N158" s="2" t="s">
        <v>88</v>
      </c>
      <c r="O158" s="2" t="s">
        <v>89</v>
      </c>
      <c r="P158" s="2"/>
      <c r="Q158" s="2" t="s">
        <v>86</v>
      </c>
      <c r="R158" s="2" t="s">
        <v>125</v>
      </c>
      <c r="S158" s="2" t="s">
        <v>126</v>
      </c>
      <c r="T158" s="2" t="s">
        <v>127</v>
      </c>
      <c r="U158" s="3" t="s">
        <v>87</v>
      </c>
      <c r="V158" s="6"/>
      <c r="W158" s="2" t="s">
        <v>88</v>
      </c>
      <c r="X158" s="2" t="s">
        <v>89</v>
      </c>
      <c r="Z158" s="70" t="str">
        <f>IF(SUMIFS(TrackingTime!H:H,TrackingTime!F:F,Timer!B158,TrackingTime!C:C,"Hovedkontoret")&gt;0,SUMIFS(TrackingTime!H:H,TrackingTime!F:F,Timer!B158,TrackingTime!C:C,"Hovedkontoret"),"")</f>
        <v/>
      </c>
      <c r="AA158" s="71" t="str">
        <f t="shared" si="147"/>
        <v/>
      </c>
      <c r="AB158" t="str">
        <f>IF(SUMIFS(TrackingTime!H:H,TrackingTime!F:F,Timer!B158,TrackingTime!C:C,Start!$F$3)&gt;0,SUMIFS(TrackingTime!H:H,TrackingTime!F:F,Timer!B158,TrackingTime!C:C,Start!$F$3),"")</f>
        <v/>
      </c>
      <c r="AC158" s="71" t="str">
        <f t="shared" si="150"/>
        <v/>
      </c>
    </row>
    <row r="159" spans="1:29" x14ac:dyDescent="0.25">
      <c r="A159" s="15">
        <f>WEEKNUM(B159,21)</f>
        <v>13</v>
      </c>
      <c r="B159" s="63">
        <f>B153+(DAY(1))</f>
        <v>46104</v>
      </c>
      <c r="C159" t="str">
        <f>IFERROR(IF(OR(L159="Fri",L159="Ferie",L159="Syk",L159="Omsorg",B159&lt;Start!$B$7),0,IF(IFERROR(MATCH(B159,Start!A$253:A$273,0),0)&gt;0,VLOOKUP(B159,Start!A$253:F$273,3,FALSE)/100*Start!$B$4,VLOOKUP(WEEKDAY(B159,2),Start!A$240:F$246,4,FALSE))),"")</f>
        <v/>
      </c>
      <c r="D159" t="str">
        <f>IFERROR(IF(OR(U159="Fri",U159="Ferie",U159="Syk",U159="Omsorg",B159&lt;Start!$F$7),0,IF(IFERROR(MATCH(B159,Start!A$253:A$273,0),0)&gt;0,VLOOKUP(B159,Start!A$253:F$273,3,FALSE)/100*Start!$F$4,VLOOKUP(WEEKDAY(B159,2),Start!A$240:F$246,6,FALSE))),"")</f>
        <v/>
      </c>
      <c r="E159">
        <f t="shared" ca="1" si="100"/>
        <v>0</v>
      </c>
      <c r="F159">
        <f>IFERROR(IF(YEAR(B159)=Start!$B$1,MONTH(B159),""),"")</f>
        <v>3</v>
      </c>
      <c r="G159" s="64" t="str">
        <f>IFERROR(VLOOKUP(B159,Start!A$111:B$273,2,FALSE),"")</f>
        <v/>
      </c>
      <c r="H159" s="21"/>
      <c r="I159" s="78">
        <v>0.33333333333333331</v>
      </c>
      <c r="J159" s="78">
        <v>0.33333333333333331</v>
      </c>
      <c r="K159" s="1" t="str">
        <f>IF(Start!$B$6="Ja","",IF(((J159-I159)*24)&gt;=5.5,"X",""))</f>
        <v/>
      </c>
      <c r="L159" s="1" t="str">
        <f>IF(_xlfn.IFNA(MATCH($A159,Start!$H$3:$H$11,0),0)&gt;0,"Ferie",IFERROR(IF(VLOOKUP(B159,Start!A$165:B$234,2,FALSE)&gt;0,"Fri",0),IF(AND((J159-I159)=0,Z159=""),"",MAX((IF(K159="X",(J159-I159)*24-0.5,(J159-I159)*24)),Z159))))</f>
        <v/>
      </c>
      <c r="M159" s="58"/>
      <c r="N159" s="21" t="str">
        <f t="shared" ref="N159:N165" si="166">IF(H159=0,"",H159)</f>
        <v/>
      </c>
      <c r="O159" s="21" t="str">
        <f t="shared" ref="O159:O165" si="167">IF(L159=0,"",L159)</f>
        <v/>
      </c>
      <c r="P159" s="2"/>
      <c r="Q159" s="21"/>
      <c r="R159" s="78">
        <v>0.33333333333333331</v>
      </c>
      <c r="S159" s="78">
        <v>0.33333333333333331</v>
      </c>
      <c r="T159" s="1" t="str">
        <f>IF(Start!$B$6="Ja","",IF(((S159-R159)*24)&gt;=5.5,"X",""))</f>
        <v/>
      </c>
      <c r="U159" s="1" t="str">
        <f>IF(_xlfn.IFNA(MATCH($A$15,Start!$H$3:$H$11,0),0)&gt;0,"Ferie",(IF(L159="fri","Fri",(IF(L159="syk","Syk",IF(L159="Ferie","Ferie",IF(AND((S159-R159)=0,AB159=""),"",MAX((IF(T159="X",(S159-R159)*24-0.5,(S159-R159)*24)),AB159))))))))</f>
        <v/>
      </c>
      <c r="V159" s="58"/>
      <c r="W159" s="21" t="str">
        <f t="shared" ref="W159:W165" si="168">IF(Q159=0,"",Q159)</f>
        <v/>
      </c>
      <c r="X159" s="21" t="str">
        <f t="shared" ref="X159:X165" si="169">IF(U159=0,"",U159)</f>
        <v/>
      </c>
      <c r="Z159" s="70" t="str">
        <f>IF(SUMIFS(TrackingTime!H:H,TrackingTime!F:F,Timer!B159,TrackingTime!C:C,"Hovedkontoret")&gt;0,SUMIFS(TrackingTime!H:H,TrackingTime!F:F,Timer!B159,TrackingTime!C:C,"Hovedkontoret"),"")</f>
        <v/>
      </c>
      <c r="AA159" s="71" t="str">
        <f t="shared" si="147"/>
        <v/>
      </c>
      <c r="AB159" t="str">
        <f>IF(SUMIFS(TrackingTime!H:H,TrackingTime!F:F,Timer!B159,TrackingTime!C:C,Start!$F$3)&gt;0,SUMIFS(TrackingTime!H:H,TrackingTime!F:F,Timer!B159,TrackingTime!C:C,Start!$F$3),"")</f>
        <v/>
      </c>
      <c r="AC159" s="71" t="str">
        <f t="shared" si="150"/>
        <v/>
      </c>
    </row>
    <row r="160" spans="1:29" x14ac:dyDescent="0.25">
      <c r="A160" s="15"/>
      <c r="B160" s="63">
        <f t="shared" ref="B160:B165" si="170">B159+DAY(1)</f>
        <v>46105</v>
      </c>
      <c r="C160" t="str">
        <f>IFERROR(IF(OR(L160="Fri",L160="Ferie",L160="Syk",L160="Omsorg",B160&lt;Start!$B$7),0,IF(IFERROR(MATCH(B160,Start!A$253:A$273,0),0)&gt;0,VLOOKUP(B160,Start!A$253:F$273,3,FALSE)/100*Start!$B$4,VLOOKUP(WEEKDAY(B160,2),Start!A$240:F$246,4,FALSE))),"")</f>
        <v/>
      </c>
      <c r="D160" t="str">
        <f>IFERROR(IF(OR(U160="Fri",U160="Ferie",U160="Syk",U160="Omsorg",B160&lt;Start!$F$7),0,IF(IFERROR(MATCH(B160,Start!A$253:A$273,0),0)&gt;0,VLOOKUP(B160,Start!A$253:F$273,3,FALSE)/100*Start!$F$4,VLOOKUP(WEEKDAY(B160,2),Start!A$240:F$246,6,FALSE))),"")</f>
        <v/>
      </c>
      <c r="E160">
        <f t="shared" ca="1" si="100"/>
        <v>0</v>
      </c>
      <c r="F160">
        <f>IFERROR(IF(YEAR(B160)=Start!$B$1,MONTH(B160),""),"")</f>
        <v>3</v>
      </c>
      <c r="G160" s="64" t="str">
        <f>IFERROR(VLOOKUP(B160,Start!A$111:B$273,2,FALSE),"")</f>
        <v/>
      </c>
      <c r="H160" s="21"/>
      <c r="I160" s="78">
        <v>0.33333333333333331</v>
      </c>
      <c r="J160" s="78">
        <v>0.33333333333333331</v>
      </c>
      <c r="K160" s="1" t="str">
        <f>IF(Start!$B$6="Ja","",IF(((J160-I160)*24)&gt;=5.5,"X",""))</f>
        <v/>
      </c>
      <c r="L160" s="1" t="str">
        <f>IF(_xlfn.IFNA(MATCH($A159,Start!$H$3:$H$11,0),0)&gt;0,"Ferie",IFERROR(IF(VLOOKUP($B160,Start!$A$165:$B$234,2,FALSE)&gt;0,"Fri",0),IF(AND((J160-I160)=0,Z160=""),"",MAX((IF(K160="X",(J160-I160)*24-0.5,(J160-I160)*24)),Z160))))</f>
        <v/>
      </c>
      <c r="M160" s="58"/>
      <c r="N160" s="21" t="str">
        <f t="shared" si="166"/>
        <v/>
      </c>
      <c r="O160" s="21" t="str">
        <f t="shared" si="167"/>
        <v/>
      </c>
      <c r="P160" s="2"/>
      <c r="Q160" s="21"/>
      <c r="R160" s="78">
        <v>0.33333333333333331</v>
      </c>
      <c r="S160" s="78">
        <v>0.33333333333333331</v>
      </c>
      <c r="T160" s="1" t="str">
        <f>IF(Start!$B$6="Ja","",IF(((S160-R160)*24)&gt;=5.5,"X",""))</f>
        <v/>
      </c>
      <c r="U160" s="1" t="str">
        <f>IF(_xlfn.IFNA(MATCH($A$15,Start!$H$3:$H$11,0),0)&gt;0,"Ferie",(IF(L160="fri","Fri",(IF(L160="syk","Syk",IF(L160="Ferie","Ferie",IF(AND((S160-R160)=0,AB160=""),"",MAX((IF(T160="X",(S160-R160)*24-0.5,(S160-R160)*24)),AB160))))))))</f>
        <v/>
      </c>
      <c r="V160" s="58"/>
      <c r="W160" s="21" t="str">
        <f t="shared" si="168"/>
        <v/>
      </c>
      <c r="X160" s="21" t="str">
        <f t="shared" si="169"/>
        <v/>
      </c>
      <c r="Z160" s="70" t="str">
        <f>IF(SUMIFS(TrackingTime!H:H,TrackingTime!F:F,Timer!B160,TrackingTime!C:C,"Hovedkontoret")&gt;0,SUMIFS(TrackingTime!H:H,TrackingTime!F:F,Timer!B160,TrackingTime!C:C,"Hovedkontoret"),"")</f>
        <v/>
      </c>
      <c r="AA160" s="71" t="str">
        <f t="shared" si="147"/>
        <v/>
      </c>
      <c r="AB160" t="str">
        <f>IF(SUMIFS(TrackingTime!H:H,TrackingTime!F:F,Timer!B160,TrackingTime!C:C,Start!$F$3)&gt;0,SUMIFS(TrackingTime!H:H,TrackingTime!F:F,Timer!B160,TrackingTime!C:C,Start!$F$3),"")</f>
        <v/>
      </c>
      <c r="AC160" s="71" t="str">
        <f t="shared" si="150"/>
        <v/>
      </c>
    </row>
    <row r="161" spans="1:29" x14ac:dyDescent="0.25">
      <c r="A161" s="15"/>
      <c r="B161" s="63">
        <f t="shared" si="170"/>
        <v>46106</v>
      </c>
      <c r="C161" t="str">
        <f>IFERROR(IF(OR(L161="Fri",L161="Ferie",L161="Syk",L161="Omsorg",B161&lt;Start!$B$7),0,IF(IFERROR(MATCH(B161,Start!A$253:A$273,0),0)&gt;0,VLOOKUP(B161,Start!A$253:F$273,3,FALSE)/100*Start!$B$4,VLOOKUP(WEEKDAY(B161,2),Start!A$240:F$246,4,FALSE))),"")</f>
        <v/>
      </c>
      <c r="D161" t="str">
        <f>IFERROR(IF(OR(U161="Fri",U161="Ferie",U161="Syk",U161="Omsorg",B161&lt;Start!$F$7),0,IF(IFERROR(MATCH(B161,Start!A$253:A$273,0),0)&gt;0,VLOOKUP(B161,Start!A$253:F$273,3,FALSE)/100*Start!$F$4,VLOOKUP(WEEKDAY(B161,2),Start!A$240:F$246,6,FALSE))),"")</f>
        <v/>
      </c>
      <c r="E161">
        <f t="shared" ca="1" si="100"/>
        <v>0</v>
      </c>
      <c r="F161">
        <f>IFERROR(IF(YEAR(B161)=Start!$B$1,MONTH(B161),""),"")</f>
        <v>3</v>
      </c>
      <c r="G161" s="64" t="str">
        <f>IFERROR(VLOOKUP(B161,Start!A$111:B$273,2,FALSE),"")</f>
        <v/>
      </c>
      <c r="H161" s="21"/>
      <c r="I161" s="78">
        <v>0.33333333333333331</v>
      </c>
      <c r="J161" s="78">
        <v>0.33333333333333331</v>
      </c>
      <c r="K161" s="1" t="str">
        <f>IF(Start!$B$6="Ja","",IF(((J161-I161)*24)&gt;=5.5,"X",""))</f>
        <v/>
      </c>
      <c r="L161" s="1" t="str">
        <f>IF(_xlfn.IFNA(MATCH($A159,Start!$H$3:$H$11,0),0)&gt;0,"Ferie",IFERROR(IF(VLOOKUP(B161,Start!A$165:B$234,2,FALSE)&gt;0,"Fri",0),IF(AND((J161-I161)=0,Z161=""),"",MAX((IF(K161="X",(J161-I161)*24-0.5,(J161-I161)*24)),Z161))))</f>
        <v/>
      </c>
      <c r="M161" s="58"/>
      <c r="N161" s="21" t="str">
        <f t="shared" si="166"/>
        <v/>
      </c>
      <c r="O161" s="21" t="str">
        <f t="shared" si="167"/>
        <v/>
      </c>
      <c r="P161" s="2"/>
      <c r="Q161" s="21"/>
      <c r="R161" s="78">
        <v>0.33333333333333331</v>
      </c>
      <c r="S161" s="78">
        <v>0.33333333333333331</v>
      </c>
      <c r="T161" s="1" t="str">
        <f>IF(Start!$B$6="Ja","",IF(((S161-R161)*24)&gt;=5.5,"X",""))</f>
        <v/>
      </c>
      <c r="U161" s="1" t="str">
        <f>IF(_xlfn.IFNA(MATCH($A$15,Start!$H$3:$H$11,0),0)&gt;0,"Ferie",(IF(L161="fri","Fri",(IF(L161="syk","Syk",IF(L161="Ferie","Ferie",IF(AND((S161-R161)=0,AB161=""),"",MAX((IF(T161="X",(S161-R161)*24-0.5,(S161-R161)*24)),AB161))))))))</f>
        <v/>
      </c>
      <c r="V161" s="58"/>
      <c r="W161" s="21" t="str">
        <f t="shared" si="168"/>
        <v/>
      </c>
      <c r="X161" s="21" t="str">
        <f t="shared" si="169"/>
        <v/>
      </c>
      <c r="Z161" s="70" t="str">
        <f>IF(SUMIFS(TrackingTime!H:H,TrackingTime!F:F,Timer!B161,TrackingTime!C:C,"Hovedkontoret")&gt;0,SUMIFS(TrackingTime!H:H,TrackingTime!F:F,Timer!B161,TrackingTime!C:C,"Hovedkontoret"),"")</f>
        <v/>
      </c>
      <c r="AA161" s="71" t="str">
        <f t="shared" si="147"/>
        <v/>
      </c>
      <c r="AB161" t="str">
        <f>IF(SUMIFS(TrackingTime!H:H,TrackingTime!F:F,Timer!B161,TrackingTime!C:C,Start!$F$3)&gt;0,SUMIFS(TrackingTime!H:H,TrackingTime!F:F,Timer!B161,TrackingTime!C:C,Start!$F$3),"")</f>
        <v/>
      </c>
      <c r="AC161" s="71" t="str">
        <f t="shared" si="150"/>
        <v/>
      </c>
    </row>
    <row r="162" spans="1:29" x14ac:dyDescent="0.25">
      <c r="A162" s="15"/>
      <c r="B162" s="63">
        <f t="shared" si="170"/>
        <v>46107</v>
      </c>
      <c r="C162" t="str">
        <f>IFERROR(IF(OR(L162="Fri",L162="Ferie",L162="Syk",L162="Omsorg",B162&lt;Start!$B$7),0,IF(IFERROR(MATCH(B162,Start!A$253:A$273,0),0)&gt;0,VLOOKUP(B162,Start!A$253:F$273,3,FALSE)/100*Start!$B$4,VLOOKUP(WEEKDAY(B162,2),Start!A$240:F$246,4,FALSE))),"")</f>
        <v/>
      </c>
      <c r="D162" t="str">
        <f>IFERROR(IF(OR(U162="Fri",U162="Ferie",U162="Syk",U162="Omsorg",B162&lt;Start!$F$7),0,IF(IFERROR(MATCH(B162,Start!A$253:A$273,0),0)&gt;0,VLOOKUP(B162,Start!A$253:F$273,3,FALSE)/100*Start!$F$4,VLOOKUP(WEEKDAY(B162,2),Start!A$240:F$246,6,FALSE))),"")</f>
        <v/>
      </c>
      <c r="E162">
        <f t="shared" ca="1" si="100"/>
        <v>0</v>
      </c>
      <c r="F162">
        <f>IFERROR(IF(YEAR(B162)=Start!$B$1,MONTH(B162),""),"")</f>
        <v>3</v>
      </c>
      <c r="G162" s="64" t="str">
        <f>IFERROR(VLOOKUP(B162,Start!A$111:B$273,2,FALSE),"")</f>
        <v/>
      </c>
      <c r="H162" s="21"/>
      <c r="I162" s="78">
        <v>0.33333333333333331</v>
      </c>
      <c r="J162" s="78">
        <v>0.33333333333333331</v>
      </c>
      <c r="K162" s="1" t="str">
        <f>IF(Start!$B$6="Ja","",IF(((J162-I162)*24)&gt;=5.5,"X",""))</f>
        <v/>
      </c>
      <c r="L162" s="1" t="str">
        <f>IF(_xlfn.IFNA(MATCH($A159,Start!$H$3:$H$11,0),0)&gt;0,"Ferie",IFERROR(IF(VLOOKUP(B162,Start!A$165:B$234,2,FALSE)&gt;0,"Fri",0),IF(AND((J162-I162)=0,Z162=""),"",MAX((IF(K162="X",(J162-I162)*24-0.5,(J162-I162)*24)),Z162))))</f>
        <v/>
      </c>
      <c r="M162" s="58"/>
      <c r="N162" s="21" t="str">
        <f t="shared" si="166"/>
        <v/>
      </c>
      <c r="O162" s="21" t="str">
        <f t="shared" si="167"/>
        <v/>
      </c>
      <c r="P162" s="2"/>
      <c r="Q162" s="21"/>
      <c r="R162" s="78">
        <v>0.33333333333333331</v>
      </c>
      <c r="S162" s="78">
        <v>0.33333333333333331</v>
      </c>
      <c r="T162" s="1" t="str">
        <f>IF(Start!$B$6="Ja","",IF(((S162-R162)*24)&gt;=5.5,"X",""))</f>
        <v/>
      </c>
      <c r="U162" s="1" t="str">
        <f>IF(_xlfn.IFNA(MATCH($A$15,Start!$H$3:$H$11,0),0)&gt;0,"Ferie",(IF(L162="fri","Fri",(IF(L162="syk","Syk",IF(L162="Ferie","Ferie",IF(AND((S162-R162)=0,AB162=""),"",MAX((IF(T162="X",(S162-R162)*24-0.5,(S162-R162)*24)),AB162))))))))</f>
        <v/>
      </c>
      <c r="V162" s="58"/>
      <c r="W162" s="21" t="str">
        <f t="shared" si="168"/>
        <v/>
      </c>
      <c r="X162" s="21" t="str">
        <f t="shared" si="169"/>
        <v/>
      </c>
      <c r="Z162" s="70" t="str">
        <f>IF(SUMIFS(TrackingTime!H:H,TrackingTime!F:F,Timer!B162,TrackingTime!C:C,"Hovedkontoret")&gt;0,SUMIFS(TrackingTime!H:H,TrackingTime!F:F,Timer!B162,TrackingTime!C:C,"Hovedkontoret"),"")</f>
        <v/>
      </c>
      <c r="AA162" s="71" t="str">
        <f t="shared" si="147"/>
        <v/>
      </c>
      <c r="AB162" t="str">
        <f>IF(SUMIFS(TrackingTime!H:H,TrackingTime!F:F,Timer!B162,TrackingTime!C:C,Start!$F$3)&gt;0,SUMIFS(TrackingTime!H:H,TrackingTime!F:F,Timer!B162,TrackingTime!C:C,Start!$F$3),"")</f>
        <v/>
      </c>
      <c r="AC162" s="71" t="str">
        <f t="shared" si="150"/>
        <v/>
      </c>
    </row>
    <row r="163" spans="1:29" x14ac:dyDescent="0.25">
      <c r="A163" s="15"/>
      <c r="B163" s="63">
        <f t="shared" si="170"/>
        <v>46108</v>
      </c>
      <c r="C163" t="str">
        <f>IFERROR(IF(OR(L163="Fri",L163="Ferie",L163="Syk",L163="Omsorg",B163&lt;Start!$B$7),0,IF(IFERROR(MATCH(B163,Start!A$253:A$273,0),0)&gt;0,VLOOKUP(B163,Start!A$253:F$273,3,FALSE)/100*Start!$B$4,VLOOKUP(WEEKDAY(B163,2),Start!A$240:F$246,4,FALSE))),"")</f>
        <v/>
      </c>
      <c r="D163" t="str">
        <f>IFERROR(IF(OR(U163="Fri",U163="Ferie",U163="Syk",U163="Omsorg",B163&lt;Start!$F$7),0,IF(IFERROR(MATCH(B163,Start!A$253:A$273,0),0)&gt;0,VLOOKUP(B163,Start!A$253:F$273,3,FALSE)/100*Start!$F$4,VLOOKUP(WEEKDAY(B163,2),Start!A$240:F$246,6,FALSE))),"")</f>
        <v/>
      </c>
      <c r="E163">
        <f t="shared" ca="1" si="100"/>
        <v>0</v>
      </c>
      <c r="F163">
        <f>IFERROR(IF(YEAR(B163)=Start!$B$1,MONTH(B163),""),"")</f>
        <v>3</v>
      </c>
      <c r="G163" s="64" t="str">
        <f>IFERROR(VLOOKUP(B163,Start!A$111:B$273,2,FALSE),"")</f>
        <v/>
      </c>
      <c r="H163" s="21"/>
      <c r="I163" s="78">
        <v>0.33333333333333331</v>
      </c>
      <c r="J163" s="78">
        <v>0.33333333333333331</v>
      </c>
      <c r="K163" s="1" t="str">
        <f>IF(Start!$B$6="Ja","",IF(((J163-I163)*24)&gt;=5.5,"X",""))</f>
        <v/>
      </c>
      <c r="L163" s="1" t="str">
        <f>IF(_xlfn.IFNA(MATCH($A159,Start!$H$3:$H$11,0),0)&gt;0,"Ferie",IFERROR(IF(VLOOKUP(B163,Start!A$165:B$234,2,FALSE)&gt;0,"Fri",0),IF(AND((J163-I163)=0,Z163=""),"",MAX((IF(K163="X",(J163-I163)*24-0.5,(J163-I163)*24)),Z163))))</f>
        <v/>
      </c>
      <c r="M163" s="58"/>
      <c r="N163" s="21" t="str">
        <f t="shared" si="166"/>
        <v/>
      </c>
      <c r="O163" s="21" t="str">
        <f t="shared" si="167"/>
        <v/>
      </c>
      <c r="P163" s="2"/>
      <c r="Q163" s="21"/>
      <c r="R163" s="78">
        <v>0.33333333333333331</v>
      </c>
      <c r="S163" s="78">
        <v>0.33333333333333331</v>
      </c>
      <c r="T163" s="1" t="str">
        <f>IF(Start!$B$6="Ja","",IF(((S163-R163)*24)&gt;=5.5,"X",""))</f>
        <v/>
      </c>
      <c r="U163" s="1" t="str">
        <f>IF(_xlfn.IFNA(MATCH($A$15,Start!$H$3:$H$11,0),0)&gt;0,"Ferie",(IF(L163="fri","Fri",(IF(L163="syk","Syk",IF(L163="Ferie","Ferie",IF(AND((S163-R163)=0,AB163=""),"",MAX((IF(T163="X",(S163-R163)*24-0.5,(S163-R163)*24)),AB163))))))))</f>
        <v/>
      </c>
      <c r="V163" s="58"/>
      <c r="W163" s="21" t="str">
        <f t="shared" si="168"/>
        <v/>
      </c>
      <c r="X163" s="21" t="str">
        <f t="shared" si="169"/>
        <v/>
      </c>
      <c r="Z163" s="70" t="str">
        <f>IF(SUMIFS(TrackingTime!H:H,TrackingTime!F:F,Timer!B163,TrackingTime!C:C,"Hovedkontoret")&gt;0,SUMIFS(TrackingTime!H:H,TrackingTime!F:F,Timer!B163,TrackingTime!C:C,"Hovedkontoret"),"")</f>
        <v/>
      </c>
      <c r="AA163" s="71" t="str">
        <f t="shared" si="147"/>
        <v/>
      </c>
      <c r="AB163" t="str">
        <f>IF(SUMIFS(TrackingTime!H:H,TrackingTime!F:F,Timer!B163,TrackingTime!C:C,Start!$F$3)&gt;0,SUMIFS(TrackingTime!H:H,TrackingTime!F:F,Timer!B163,TrackingTime!C:C,Start!$F$3),"")</f>
        <v/>
      </c>
      <c r="AC163" s="71" t="str">
        <f t="shared" si="150"/>
        <v/>
      </c>
    </row>
    <row r="164" spans="1:29" x14ac:dyDescent="0.25">
      <c r="A164" s="15"/>
      <c r="B164" s="63">
        <f t="shared" si="170"/>
        <v>46109</v>
      </c>
      <c r="C164">
        <f>IFERROR(IF(OR(L164="Fri",L164="Ferie",L164="Syk",L164="Omsorg",B164&lt;Start!$B$7),0,IF(IFERROR(MATCH(B164,Start!A$253:A$273,0),0)&gt;0,VLOOKUP(B164,Start!A$253:F$273,3,FALSE)/100*Start!$B$4,VLOOKUP(WEEKDAY(B164,2),Start!A$240:F$246,4,FALSE))),"")</f>
        <v>0</v>
      </c>
      <c r="D164">
        <f>IFERROR(IF(OR(U164="Fri",U164="Ferie",U164="Syk",U164="Omsorg",B164&lt;Start!$F$7),0,IF(IFERROR(MATCH(B164,Start!A$253:A$273,0),0)&gt;0,VLOOKUP(B164,Start!A$253:F$273,3,FALSE)/100*Start!$F$4,VLOOKUP(WEEKDAY(B164,2),Start!A$240:F$246,6,FALSE))),"")</f>
        <v>0</v>
      </c>
      <c r="E164">
        <f t="shared" ca="1" si="100"/>
        <v>0</v>
      </c>
      <c r="F164">
        <f>IFERROR(IF(YEAR(B164)=Start!$B$1,MONTH(B164),""),"")</f>
        <v>3</v>
      </c>
      <c r="G164" s="64" t="str">
        <f>IFERROR(VLOOKUP(B164,Start!A$111:B$273,2,FALSE),"")</f>
        <v/>
      </c>
      <c r="H164" s="21"/>
      <c r="I164" s="78">
        <v>0.41666666666666669</v>
      </c>
      <c r="J164" s="78">
        <v>0.41666666666666669</v>
      </c>
      <c r="K164" s="1" t="str">
        <f>IF(Start!$B$6="Ja","",IF(((J164-I164)*24)&gt;=5.5,"X",""))</f>
        <v/>
      </c>
      <c r="L164" s="1" t="str">
        <f t="shared" ref="L164:L165" si="171">IF(AND((J164-I164)=0,Z164=""),"",MAX((IF(K164="X",(J164-I164)*24-0.5,(J164-I164)*24)),Z164))</f>
        <v/>
      </c>
      <c r="M164" s="58"/>
      <c r="N164" s="21" t="str">
        <f t="shared" si="166"/>
        <v/>
      </c>
      <c r="O164" s="21" t="str">
        <f t="shared" si="167"/>
        <v/>
      </c>
      <c r="P164" s="2"/>
      <c r="Q164" s="21"/>
      <c r="R164" s="78">
        <v>0.41666666666666669</v>
      </c>
      <c r="S164" s="78">
        <v>0.41666666666666669</v>
      </c>
      <c r="T164" s="1" t="str">
        <f>IF(Start!$B$6="Ja","",IF(((S164-R164)*24)&gt;=5.5,"X",""))</f>
        <v/>
      </c>
      <c r="U164" s="1" t="str">
        <f t="shared" ref="U164:U165" si="172">IF(AND((S164-R164)=0,AB164=""),"",MAX((IF(T164="X",(S164-R164)*24-0.5,(S164-R164)*24)),AB164))</f>
        <v/>
      </c>
      <c r="V164" s="58"/>
      <c r="W164" s="21" t="str">
        <f t="shared" si="168"/>
        <v/>
      </c>
      <c r="X164" s="21" t="str">
        <f t="shared" si="169"/>
        <v/>
      </c>
      <c r="Z164" s="70" t="str">
        <f>IF(SUMIFS(TrackingTime!H:H,TrackingTime!F:F,Timer!B164,TrackingTime!C:C,"Hovedkontoret")&gt;0,SUMIFS(TrackingTime!H:H,TrackingTime!F:F,Timer!B164,TrackingTime!C:C,"Hovedkontoret"),"")</f>
        <v/>
      </c>
      <c r="AA164" s="71" t="str">
        <f t="shared" si="147"/>
        <v/>
      </c>
      <c r="AB164" t="str">
        <f>IF(SUMIFS(TrackingTime!H:H,TrackingTime!F:F,Timer!B164,TrackingTime!C:C,Start!$F$3)&gt;0,SUMIFS(TrackingTime!H:H,TrackingTime!F:F,Timer!B164,TrackingTime!C:C,Start!$F$3),"")</f>
        <v/>
      </c>
      <c r="AC164" s="71" t="str">
        <f t="shared" si="150"/>
        <v/>
      </c>
    </row>
    <row r="165" spans="1:29" x14ac:dyDescent="0.25">
      <c r="A165" s="15"/>
      <c r="B165" s="63">
        <f t="shared" si="170"/>
        <v>46110</v>
      </c>
      <c r="C165">
        <f>IFERROR(IF(OR(L165="Fri",L165="Ferie",L165="Syk",L165="Omsorg",B165&lt;Start!$B$7),0,IF(IFERROR(MATCH(B165,Start!A$253:A$273,0),0)&gt;0,VLOOKUP(B165,Start!A$253:F$273,3,FALSE)/100*Start!$B$4,VLOOKUP(WEEKDAY(B165,2),Start!A$240:F$246,4,FALSE))),"")</f>
        <v>0</v>
      </c>
      <c r="D165">
        <f>IFERROR(IF(OR(U165="Fri",U165="Ferie",U165="Syk",U165="Omsorg",B165&lt;Start!$F$7),0,IF(IFERROR(MATCH(B165,Start!A$253:A$273,0),0)&gt;0,VLOOKUP(B165,Start!A$253:F$273,3,FALSE)/100*Start!$F$4,VLOOKUP(WEEKDAY(B165,2),Start!A$240:F$246,6,FALSE))),"")</f>
        <v>0</v>
      </c>
      <c r="E165">
        <f t="shared" ca="1" si="100"/>
        <v>0</v>
      </c>
      <c r="F165">
        <f>IFERROR(IF(YEAR(B165)=Start!$B$1,MONTH(B165),""),"")</f>
        <v>3</v>
      </c>
      <c r="G165" s="64" t="str">
        <f>IFERROR(VLOOKUP(B165,Start!A$111:B$273,2,FALSE),"")</f>
        <v>Palmesøndag</v>
      </c>
      <c r="H165" s="25"/>
      <c r="I165" s="78">
        <v>0.41666666666666669</v>
      </c>
      <c r="J165" s="78">
        <v>0.41666666666666669</v>
      </c>
      <c r="K165" s="1" t="str">
        <f>IF(Start!$B$6="Ja","",IF(((J165-I165)*24)&gt;=5.5,"X",""))</f>
        <v/>
      </c>
      <c r="L165" s="1" t="str">
        <f t="shared" si="171"/>
        <v/>
      </c>
      <c r="M165" s="58"/>
      <c r="N165" s="21" t="str">
        <f t="shared" si="166"/>
        <v/>
      </c>
      <c r="O165" s="21" t="str">
        <f t="shared" si="167"/>
        <v/>
      </c>
      <c r="Q165" s="25"/>
      <c r="R165" s="78">
        <v>0.41666666666666669</v>
      </c>
      <c r="S165" s="78">
        <v>0.41666666666666669</v>
      </c>
      <c r="T165" s="1" t="str">
        <f>IF(Start!$B$6="Ja","",IF(((S165-R165)*24)&gt;=5.5,"X",""))</f>
        <v/>
      </c>
      <c r="U165" s="1" t="str">
        <f t="shared" si="172"/>
        <v/>
      </c>
      <c r="V165" s="58"/>
      <c r="W165" s="21" t="str">
        <f t="shared" si="168"/>
        <v/>
      </c>
      <c r="X165" s="21" t="str">
        <f t="shared" si="169"/>
        <v/>
      </c>
      <c r="Z165" s="70" t="str">
        <f>IF(SUMIFS(TrackingTime!H:H,TrackingTime!F:F,Timer!B165,TrackingTime!C:C,"Hovedkontoret")&gt;0,SUMIFS(TrackingTime!H:H,TrackingTime!F:F,Timer!B165,TrackingTime!C:C,"Hovedkontoret"),"")</f>
        <v/>
      </c>
      <c r="AA165" s="71" t="str">
        <f t="shared" si="147"/>
        <v/>
      </c>
      <c r="AB165" t="str">
        <f>IF(SUMIFS(TrackingTime!H:H,TrackingTime!F:F,Timer!B165,TrackingTime!C:C,Start!$F$3)&gt;0,SUMIFS(TrackingTime!H:H,TrackingTime!F:F,Timer!B165,TrackingTime!C:C,Start!$F$3),"")</f>
        <v/>
      </c>
      <c r="AC165" s="71" t="str">
        <f t="shared" si="150"/>
        <v/>
      </c>
    </row>
    <row r="166" spans="1:29" x14ac:dyDescent="0.25">
      <c r="A166" s="15"/>
      <c r="B166" s="4" t="s">
        <v>11</v>
      </c>
      <c r="C166" s="24"/>
      <c r="D166" s="24"/>
      <c r="E166" s="24">
        <f t="shared" ref="E166:E229" ca="1" si="173">IF(B166&gt;TODAY(),0,1)</f>
        <v>0</v>
      </c>
      <c r="F166" s="24" t="str">
        <f>IFERROR(IF(YEAR(B166)=Start!$B$1,MONTH(B166),""),"")</f>
        <v/>
      </c>
      <c r="G166" s="64" t="str">
        <f>IFERROR(VLOOKUP(B166,Start!A$111:B$273,2,FALSE),"")</f>
        <v/>
      </c>
      <c r="H166" s="4"/>
      <c r="I166" s="4"/>
      <c r="J166" s="4"/>
      <c r="K166" s="4"/>
      <c r="L166" s="5">
        <f t="shared" ref="L166:L226" si="174">SUM($L159:$L165)</f>
        <v>0</v>
      </c>
      <c r="N166" s="24"/>
      <c r="O166" s="39">
        <f t="shared" ref="O166" si="175">SUM(O159:O165)</f>
        <v>0</v>
      </c>
      <c r="P166" s="40"/>
      <c r="Q166" s="41"/>
      <c r="R166" s="4"/>
      <c r="S166" s="4"/>
      <c r="T166" s="4"/>
      <c r="U166" s="5">
        <f t="shared" ref="U166" si="176">SUM($U159:$U165)</f>
        <v>0</v>
      </c>
      <c r="V166" s="58"/>
      <c r="W166" s="39"/>
      <c r="X166" s="39">
        <f t="shared" ref="X166:X214" si="177">SUM(X159:X165)</f>
        <v>0</v>
      </c>
      <c r="Z166" s="70" t="str">
        <f>IF(SUMIFS(TrackingTime!H:H,TrackingTime!F:F,Timer!B166,TrackingTime!C:C,"Hovedkontoret")&gt;0,SUMIFS(TrackingTime!H:H,TrackingTime!F:F,Timer!B166,TrackingTime!C:C,"Hovedkontoret"),"")</f>
        <v/>
      </c>
      <c r="AA166" s="71" t="str">
        <f t="shared" si="147"/>
        <v/>
      </c>
      <c r="AB166" t="str">
        <f>IF(SUMIFS(TrackingTime!H:H,TrackingTime!F:F,Timer!B166,TrackingTime!C:C,Start!$F$3)&gt;0,SUMIFS(TrackingTime!H:H,TrackingTime!F:F,Timer!B166,TrackingTime!C:C,Start!$F$3),"")</f>
        <v/>
      </c>
      <c r="AC166" s="71" t="str">
        <f t="shared" si="150"/>
        <v/>
      </c>
    </row>
    <row r="167" spans="1:29" x14ac:dyDescent="0.25">
      <c r="A167" s="15"/>
      <c r="B167" t="s">
        <v>90</v>
      </c>
      <c r="E167">
        <f t="shared" ca="1" si="173"/>
        <v>0</v>
      </c>
      <c r="F167" t="str">
        <f>IFERROR(IF(YEAR(B167)=Start!$B$1,MONTH(B167),""),"")</f>
        <v/>
      </c>
      <c r="G167" s="64" t="str">
        <f>IFERROR(VLOOKUP(B167,Start!A$111:B$273,2,FALSE),"")</f>
        <v/>
      </c>
      <c r="L167" s="1">
        <f t="shared" ref="L167:L227" si="178">SUMIFS(C159:C165,F159:F165,"&gt;0")</f>
        <v>0</v>
      </c>
      <c r="M167" s="1"/>
      <c r="N167" s="1"/>
      <c r="O167" s="21">
        <f t="shared" ref="O167" si="179">L167</f>
        <v>0</v>
      </c>
      <c r="P167" s="40"/>
      <c r="Q167" s="21"/>
      <c r="U167" s="1">
        <f t="shared" ref="U167" si="180">SUMIFS(D159:D165,F159:F165,"&gt;0")</f>
        <v>0</v>
      </c>
      <c r="V167" s="1"/>
      <c r="W167" s="1"/>
      <c r="X167" s="21">
        <f>U167</f>
        <v>0</v>
      </c>
      <c r="Z167" s="70" t="str">
        <f>IF(SUMIFS(TrackingTime!H:H,TrackingTime!F:F,Timer!B167,TrackingTime!C:C,"Hovedkontoret")&gt;0,SUMIFS(TrackingTime!H:H,TrackingTime!F:F,Timer!B167,TrackingTime!C:C,"Hovedkontoret"),"")</f>
        <v/>
      </c>
      <c r="AA167" s="71" t="str">
        <f t="shared" si="147"/>
        <v/>
      </c>
      <c r="AB167" t="str">
        <f>IF(SUMIFS(TrackingTime!H:H,TrackingTime!F:F,Timer!B167,TrackingTime!C:C,Start!$F$3)&gt;0,SUMIFS(TrackingTime!H:H,TrackingTime!F:F,Timer!B167,TrackingTime!C:C,Start!$F$3),"")</f>
        <v/>
      </c>
      <c r="AC167" s="71" t="str">
        <f t="shared" si="150"/>
        <v/>
      </c>
    </row>
    <row r="168" spans="1:29" x14ac:dyDescent="0.25">
      <c r="A168" s="16">
        <f>B165-B159-1</f>
        <v>5</v>
      </c>
      <c r="B168" t="s">
        <v>117</v>
      </c>
      <c r="E168">
        <f t="shared" ca="1" si="173"/>
        <v>0</v>
      </c>
      <c r="F168" t="str">
        <f>IFERROR(IF(YEAR(B168)=Start!$B$1,MONTH(B168),""),"")</f>
        <v/>
      </c>
      <c r="G168" s="64" t="str">
        <f>IFERROR(VLOOKUP(B168,Start!A$111:B$273,2,FALSE),"")</f>
        <v/>
      </c>
      <c r="L168" s="77">
        <f t="shared" ref="L168:L228" ca="1" si="181">L166-L167*(IF(NETWORKDAYS($B159,TODAY())&lt;0,0,IF(NETWORKDAYS($B159,TODAY())&lt;=$A168,NETWORKDAYS($B159,TODAY()),$A168)))/$A168</f>
        <v>0</v>
      </c>
      <c r="O168" s="21">
        <f t="shared" ref="O168" si="182">O166-O167</f>
        <v>0</v>
      </c>
      <c r="P168" s="21"/>
      <c r="Q168" s="21"/>
      <c r="U168" s="1">
        <f t="shared" ref="U168" ca="1" si="183">U166-U167*(IF(NETWORKDAYS($B159,TODAY())&lt;0,0,IF(NETWORKDAYS($B159,TODAY())&lt;=$A168,NETWORKDAYS($B159,TODAY()),$A168)))/$A168</f>
        <v>0</v>
      </c>
      <c r="V168" s="58"/>
      <c r="W168" s="21"/>
      <c r="X168" s="21">
        <f>X166-X167</f>
        <v>0</v>
      </c>
      <c r="Z168" s="70" t="str">
        <f>IF(SUMIFS(TrackingTime!H:H,TrackingTime!F:F,Timer!B168,TrackingTime!C:C,"Hovedkontoret")&gt;0,SUMIFS(TrackingTime!H:H,TrackingTime!F:F,Timer!B168,TrackingTime!C:C,"Hovedkontoret"),"")</f>
        <v/>
      </c>
      <c r="AA168" s="71" t="str">
        <f t="shared" si="147"/>
        <v/>
      </c>
      <c r="AB168" t="str">
        <f>IF(SUMIFS(TrackingTime!H:H,TrackingTime!F:F,Timer!B168,TrackingTime!C:C,Start!$F$3)&gt;0,SUMIFS(TrackingTime!H:H,TrackingTime!F:F,Timer!B168,TrackingTime!C:C,Start!$F$3),"")</f>
        <v/>
      </c>
      <c r="AC168" s="71" t="str">
        <f t="shared" si="150"/>
        <v/>
      </c>
    </row>
    <row r="169" spans="1:29" x14ac:dyDescent="0.25">
      <c r="A169" s="15"/>
      <c r="E169">
        <f t="shared" ca="1" si="173"/>
        <v>1</v>
      </c>
      <c r="F169" t="str">
        <f>IFERROR(IF(YEAR(B169)=Start!$B$1,MONTH(B169),""),"")</f>
        <v/>
      </c>
      <c r="G169" s="64" t="str">
        <f>IFERROR(VLOOKUP(B169,Start!A$111:B$273,2,FALSE),"")</f>
        <v/>
      </c>
      <c r="O169" s="2"/>
      <c r="P169" s="2"/>
      <c r="U169" s="1"/>
      <c r="V169" s="7"/>
      <c r="X169" s="2"/>
      <c r="Z169" s="70" t="str">
        <f>IF(SUMIFS(TrackingTime!H:H,TrackingTime!F:F,Timer!B169,TrackingTime!C:C,"Hovedkontoret")&gt;0,SUMIFS(TrackingTime!H:H,TrackingTime!F:F,Timer!B169,TrackingTime!C:C,"Hovedkontoret"),"")</f>
        <v/>
      </c>
      <c r="AA169" s="71" t="str">
        <f t="shared" si="147"/>
        <v/>
      </c>
      <c r="AB169" t="str">
        <f>IF(SUMIFS(TrackingTime!H:H,TrackingTime!F:F,Timer!B169,TrackingTime!C:C,Start!$F$3)&gt;0,SUMIFS(TrackingTime!H:H,TrackingTime!F:F,Timer!B169,TrackingTime!C:C,Start!$F$3),"")</f>
        <v/>
      </c>
      <c r="AC169" s="71" t="str">
        <f t="shared" si="150"/>
        <v/>
      </c>
    </row>
    <row r="170" spans="1:29" x14ac:dyDescent="0.25">
      <c r="A170" s="2" t="s">
        <v>82</v>
      </c>
      <c r="B170" s="14" t="s">
        <v>83</v>
      </c>
      <c r="E170">
        <f t="shared" ca="1" si="173"/>
        <v>0</v>
      </c>
      <c r="F170" t="str">
        <f>IFERROR(IF(YEAR(B170)=Start!$B$1,MONTH(B170),""),"")</f>
        <v/>
      </c>
      <c r="G170" s="64" t="str">
        <f>IFERROR(VLOOKUP(B170,Start!A$111:B$273,2,FALSE),"")</f>
        <v/>
      </c>
      <c r="H170" s="2" t="s">
        <v>86</v>
      </c>
      <c r="I170" s="2" t="s">
        <v>125</v>
      </c>
      <c r="J170" s="2" t="s">
        <v>126</v>
      </c>
      <c r="K170" s="2" t="s">
        <v>127</v>
      </c>
      <c r="L170" s="3" t="s">
        <v>87</v>
      </c>
      <c r="M170" s="6"/>
      <c r="N170" s="2" t="s">
        <v>88</v>
      </c>
      <c r="O170" s="2" t="s">
        <v>89</v>
      </c>
      <c r="P170" s="2"/>
      <c r="Q170" s="2" t="s">
        <v>86</v>
      </c>
      <c r="R170" s="2" t="s">
        <v>125</v>
      </c>
      <c r="S170" s="2" t="s">
        <v>126</v>
      </c>
      <c r="T170" s="2" t="s">
        <v>127</v>
      </c>
      <c r="U170" s="3" t="s">
        <v>87</v>
      </c>
      <c r="V170" s="6"/>
      <c r="W170" s="2" t="s">
        <v>88</v>
      </c>
      <c r="X170" s="2" t="s">
        <v>89</v>
      </c>
      <c r="Z170" s="70" t="str">
        <f>IF(SUMIFS(TrackingTime!H:H,TrackingTime!F:F,Timer!B170,TrackingTime!C:C,"Hovedkontoret")&gt;0,SUMIFS(TrackingTime!H:H,TrackingTime!F:F,Timer!B170,TrackingTime!C:C,"Hovedkontoret"),"")</f>
        <v/>
      </c>
      <c r="AA170" s="71" t="str">
        <f t="shared" si="147"/>
        <v/>
      </c>
      <c r="AB170" t="str">
        <f>IF(SUMIFS(TrackingTime!H:H,TrackingTime!F:F,Timer!B170,TrackingTime!C:C,Start!$F$3)&gt;0,SUMIFS(TrackingTime!H:H,TrackingTime!F:F,Timer!B170,TrackingTime!C:C,Start!$F$3),"")</f>
        <v/>
      </c>
      <c r="AC170" s="71" t="str">
        <f t="shared" si="150"/>
        <v/>
      </c>
    </row>
    <row r="171" spans="1:29" x14ac:dyDescent="0.25">
      <c r="A171" s="15">
        <f>WEEKNUM(B171,21)</f>
        <v>14</v>
      </c>
      <c r="B171" s="63">
        <f>B165+(DAY(1))</f>
        <v>46111</v>
      </c>
      <c r="C171" t="str">
        <f>IFERROR(IF(OR(L171="Fri",L171="Ferie",L171="Syk",L171="Omsorg",B171&lt;Start!$B$7),0,IF(IFERROR(MATCH(B171,Start!A$253:A$273,0),0)&gt;0,VLOOKUP(B171,Start!A$253:F$273,3,FALSE)/100*Start!$B$4,VLOOKUP(WEEKDAY(B171,2),Start!A$240:F$246,4,FALSE))),"")</f>
        <v/>
      </c>
      <c r="D171" t="str">
        <f>IFERROR(IF(OR(U171="Fri",U171="Ferie",U171="Syk",U171="Omsorg",B171&lt;Start!$F$7),0,IF(IFERROR(MATCH(B171,Start!A$253:A$273,0),0)&gt;0,VLOOKUP(B171,Start!A$253:F$273,3,FALSE)/100*Start!$F$4,VLOOKUP(WEEKDAY(B171,2),Start!A$240:F$246,6,FALSE))),"")</f>
        <v/>
      </c>
      <c r="E171">
        <f t="shared" ca="1" si="173"/>
        <v>0</v>
      </c>
      <c r="F171">
        <f>IFERROR(IF(YEAR(B171)=Start!$B$1,MONTH(B171),""),"")</f>
        <v>3</v>
      </c>
      <c r="G171" s="64" t="str">
        <f>IFERROR(VLOOKUP(B171,Start!A$111:B$273,2,FALSE),"")</f>
        <v/>
      </c>
      <c r="H171" s="21"/>
      <c r="I171" s="78">
        <v>0.33333333333333331</v>
      </c>
      <c r="J171" s="78">
        <v>0.33333333333333331</v>
      </c>
      <c r="K171" s="1" t="str">
        <f>IF(Start!$B$6="Ja","",IF(((J171-I171)*24)&gt;=5.5,"X",""))</f>
        <v/>
      </c>
      <c r="L171" s="1" t="str">
        <f>IF(_xlfn.IFNA(MATCH($A171,Start!$H$3:$H$11,0),0)&gt;0,"Ferie",IFERROR(IF(VLOOKUP(B171,Start!A$165:B$234,2,FALSE)&gt;0,"Fri",0),IF(AND((J171-I171)=0,Z171=""),"",MAX((IF(K171="X",(J171-I171)*24-0.5,(J171-I171)*24)),Z171))))</f>
        <v/>
      </c>
      <c r="M171" s="58"/>
      <c r="N171" s="21" t="str">
        <f t="shared" ref="N171:N177" si="184">IF(H171=0,"",H171)</f>
        <v/>
      </c>
      <c r="O171" s="21" t="str">
        <f t="shared" ref="O171:O177" si="185">IF(L171=0,"",L171)</f>
        <v/>
      </c>
      <c r="P171" s="2"/>
      <c r="Q171" s="21"/>
      <c r="R171" s="78">
        <v>0.33333333333333331</v>
      </c>
      <c r="S171" s="78">
        <v>0.33333333333333331</v>
      </c>
      <c r="T171" s="1" t="str">
        <f>IF(Start!$B$6="Ja","",IF(((S171-R171)*24)&gt;=5.5,"X",""))</f>
        <v/>
      </c>
      <c r="U171" s="1" t="str">
        <f>IF(_xlfn.IFNA(MATCH($A$15,Start!$H$3:$H$11,0),0)&gt;0,"Ferie",(IF(L171="fri","Fri",(IF(L171="syk","Syk",IF(L171="Ferie","Ferie",IF(AND((S171-R171)=0,AB171=""),"",MAX((IF(T171="X",(S171-R171)*24-0.5,(S171-R171)*24)),AB171))))))))</f>
        <v/>
      </c>
      <c r="V171" s="58"/>
      <c r="W171" s="21" t="str">
        <f t="shared" ref="W171:W177" si="186">IF(Q171=0,"",Q171)</f>
        <v/>
      </c>
      <c r="X171" s="21" t="str">
        <f t="shared" ref="X171:X177" si="187">IF(U171=0,"",U171)</f>
        <v/>
      </c>
      <c r="Z171" s="70" t="str">
        <f>IF(SUMIFS(TrackingTime!H:H,TrackingTime!F:F,Timer!B171,TrackingTime!C:C,"Hovedkontoret")&gt;0,SUMIFS(TrackingTime!H:H,TrackingTime!F:F,Timer!B171,TrackingTime!C:C,"Hovedkontoret"),"")</f>
        <v/>
      </c>
      <c r="AA171" s="71" t="str">
        <f t="shared" si="147"/>
        <v/>
      </c>
      <c r="AB171" t="str">
        <f>IF(SUMIFS(TrackingTime!H:H,TrackingTime!F:F,Timer!B171,TrackingTime!C:C,Start!$F$3)&gt;0,SUMIFS(TrackingTime!H:H,TrackingTime!F:F,Timer!B171,TrackingTime!C:C,Start!$F$3),"")</f>
        <v/>
      </c>
      <c r="AC171" s="71" t="str">
        <f t="shared" si="150"/>
        <v/>
      </c>
    </row>
    <row r="172" spans="1:29" x14ac:dyDescent="0.25">
      <c r="A172" s="15"/>
      <c r="B172" s="63">
        <f t="shared" ref="B172:B177" si="188">B171+DAY(1)</f>
        <v>46112</v>
      </c>
      <c r="C172" t="str">
        <f>IFERROR(IF(OR(L172="Fri",L172="Ferie",L172="Syk",L172="Omsorg",B172&lt;Start!$B$7),0,IF(IFERROR(MATCH(B172,Start!A$253:A$273,0),0)&gt;0,VLOOKUP(B172,Start!A$253:F$273,3,FALSE)/100*Start!$B$4,VLOOKUP(WEEKDAY(B172,2),Start!A$240:F$246,4,FALSE))),"")</f>
        <v/>
      </c>
      <c r="D172" t="str">
        <f>IFERROR(IF(OR(U172="Fri",U172="Ferie",U172="Syk",U172="Omsorg",B172&lt;Start!$F$7),0,IF(IFERROR(MATCH(B172,Start!A$253:A$273,0),0)&gt;0,VLOOKUP(B172,Start!A$253:F$273,3,FALSE)/100*Start!$F$4,VLOOKUP(WEEKDAY(B172,2),Start!A$240:F$246,6,FALSE))),"")</f>
        <v/>
      </c>
      <c r="E172">
        <f t="shared" ca="1" si="173"/>
        <v>0</v>
      </c>
      <c r="F172">
        <f>IFERROR(IF(YEAR(B172)=Start!$B$1,MONTH(B172),""),"")</f>
        <v>3</v>
      </c>
      <c r="G172" s="64" t="str">
        <f>IFERROR(VLOOKUP(B172,Start!A$111:B$273,2,FALSE),"")</f>
        <v/>
      </c>
      <c r="H172" s="21"/>
      <c r="I172" s="78">
        <v>0.33333333333333331</v>
      </c>
      <c r="J172" s="78">
        <v>0.33333333333333331</v>
      </c>
      <c r="K172" s="1" t="str">
        <f>IF(Start!$B$6="Ja","",IF(((J172-I172)*24)&gt;=5.5,"X",""))</f>
        <v/>
      </c>
      <c r="L172" s="1" t="str">
        <f>IF(_xlfn.IFNA(MATCH($A171,Start!$H$3:$H$11,0),0)&gt;0,"Ferie",IFERROR(IF(VLOOKUP($B172,Start!$A$165:$B$234,2,FALSE)&gt;0,"Fri",0),IF(AND((J172-I172)=0,Z172=""),"",MAX((IF(K172="X",(J172-I172)*24-0.5,(J172-I172)*24)),Z172))))</f>
        <v/>
      </c>
      <c r="M172" s="58"/>
      <c r="N172" s="21" t="str">
        <f t="shared" si="184"/>
        <v/>
      </c>
      <c r="O172" s="21" t="str">
        <f t="shared" si="185"/>
        <v/>
      </c>
      <c r="P172" s="2"/>
      <c r="Q172" s="21"/>
      <c r="R172" s="78">
        <v>0.33333333333333331</v>
      </c>
      <c r="S172" s="78">
        <v>0.33333333333333331</v>
      </c>
      <c r="T172" s="1" t="str">
        <f>IF(Start!$B$6="Ja","",IF(((S172-R172)*24)&gt;=5.5,"X",""))</f>
        <v/>
      </c>
      <c r="U172" s="1" t="str">
        <f>IF(_xlfn.IFNA(MATCH($A$15,Start!$H$3:$H$11,0),0)&gt;0,"Ferie",(IF(L172="fri","Fri",(IF(L172="syk","Syk",IF(L172="Ferie","Ferie",IF(AND((S172-R172)=0,AB172=""),"",MAX((IF(T172="X",(S172-R172)*24-0.5,(S172-R172)*24)),AB172))))))))</f>
        <v/>
      </c>
      <c r="V172" s="58"/>
      <c r="W172" s="21" t="str">
        <f t="shared" si="186"/>
        <v/>
      </c>
      <c r="X172" s="21" t="str">
        <f t="shared" si="187"/>
        <v/>
      </c>
      <c r="Z172" s="70" t="str">
        <f>IF(SUMIFS(TrackingTime!H:H,TrackingTime!F:F,Timer!B172,TrackingTime!C:C,"Hovedkontoret")&gt;0,SUMIFS(TrackingTime!H:H,TrackingTime!F:F,Timer!B172,TrackingTime!C:C,"Hovedkontoret"),"")</f>
        <v/>
      </c>
      <c r="AA172" s="71" t="str">
        <f t="shared" si="147"/>
        <v/>
      </c>
      <c r="AB172" t="str">
        <f>IF(SUMIFS(TrackingTime!H:H,TrackingTime!F:F,Timer!B172,TrackingTime!C:C,Start!$F$3)&gt;0,SUMIFS(TrackingTime!H:H,TrackingTime!F:F,Timer!B172,TrackingTime!C:C,Start!$F$3),"")</f>
        <v/>
      </c>
      <c r="AC172" s="71" t="str">
        <f t="shared" si="150"/>
        <v/>
      </c>
    </row>
    <row r="173" spans="1:29" x14ac:dyDescent="0.25">
      <c r="A173" s="15"/>
      <c r="B173" s="63">
        <f t="shared" si="188"/>
        <v>46113</v>
      </c>
      <c r="C173">
        <f>IFERROR(IF(OR(L173="Fri",L173="Ferie",L173="Syk",L173="Omsorg",B173&lt;Start!$B$7),0,IF(IFERROR(MATCH(B173,Start!A$253:A$273,0),0)&gt;0,VLOOKUP(B173,Start!A$253:F$273,3,FALSE)/100*Start!$B$4,VLOOKUP(WEEKDAY(B173,2),Start!A$240:F$246,4,FALSE))),"")</f>
        <v>0</v>
      </c>
      <c r="D173">
        <f>IFERROR(IF(OR(U173="Fri",U173="Ferie",U173="Syk",U173="Omsorg",B173&lt;Start!$F$7),0,IF(IFERROR(MATCH(B173,Start!A$253:A$273,0),0)&gt;0,VLOOKUP(B173,Start!A$253:F$273,3,FALSE)/100*Start!$F$4,VLOOKUP(WEEKDAY(B173,2),Start!A$240:F$246,6,FALSE))),"")</f>
        <v>0</v>
      </c>
      <c r="E173">
        <f t="shared" ca="1" si="173"/>
        <v>0</v>
      </c>
      <c r="F173">
        <f>IFERROR(IF(YEAR(B173)=Start!$B$1,MONTH(B173),""),"")</f>
        <v>4</v>
      </c>
      <c r="G173" s="64" t="str">
        <f>IFERROR(VLOOKUP(B173,Start!A$111:B$273,2,FALSE),"")</f>
        <v>Onsdag før skjærtorsdag</v>
      </c>
      <c r="H173" s="21"/>
      <c r="I173" s="78">
        <v>0.33333333333333331</v>
      </c>
      <c r="J173" s="78">
        <v>0.33333333333333331</v>
      </c>
      <c r="K173" s="1" t="str">
        <f>IF(Start!$B$6="Ja","",IF(((J173-I173)*24)&gt;=5.5,"X",""))</f>
        <v/>
      </c>
      <c r="L173" s="1" t="str">
        <f>IF(_xlfn.IFNA(MATCH($A171,Start!$H$3:$H$11,0),0)&gt;0,"Ferie",IFERROR(IF(VLOOKUP(B173,Start!A$165:B$234,2,FALSE)&gt;0,"Fri",0),IF(AND((J173-I173)=0,Z173=""),"",MAX((IF(K173="X",(J173-I173)*24-0.5,(J173-I173)*24)),Z173))))</f>
        <v/>
      </c>
      <c r="M173" s="58"/>
      <c r="N173" s="21" t="str">
        <f t="shared" si="184"/>
        <v/>
      </c>
      <c r="O173" s="21" t="str">
        <f t="shared" si="185"/>
        <v/>
      </c>
      <c r="P173" s="2"/>
      <c r="Q173" s="21"/>
      <c r="R173" s="78">
        <v>0.33333333333333331</v>
      </c>
      <c r="S173" s="78">
        <v>0.33333333333333331</v>
      </c>
      <c r="T173" s="1" t="str">
        <f>IF(Start!$B$6="Ja","",IF(((S173-R173)*24)&gt;=5.5,"X",""))</f>
        <v/>
      </c>
      <c r="U173" s="1" t="str">
        <f>IF(_xlfn.IFNA(MATCH($A$15,Start!$H$3:$H$11,0),0)&gt;0,"Ferie",(IF(L173="fri","Fri",(IF(L173="syk","Syk",IF(L173="Ferie","Ferie",IF(AND((S173-R173)=0,AB173=""),"",MAX((IF(T173="X",(S173-R173)*24-0.5,(S173-R173)*24)),AB173))))))))</f>
        <v/>
      </c>
      <c r="V173" s="58"/>
      <c r="W173" s="21" t="str">
        <f t="shared" si="186"/>
        <v/>
      </c>
      <c r="X173" s="21" t="str">
        <f t="shared" si="187"/>
        <v/>
      </c>
      <c r="Z173" s="70" t="str">
        <f>IF(SUMIFS(TrackingTime!H:H,TrackingTime!F:F,Timer!B173,TrackingTime!C:C,"Hovedkontoret")&gt;0,SUMIFS(TrackingTime!H:H,TrackingTime!F:F,Timer!B173,TrackingTime!C:C,"Hovedkontoret"),"")</f>
        <v/>
      </c>
      <c r="AA173" s="71" t="str">
        <f t="shared" si="147"/>
        <v/>
      </c>
      <c r="AB173" t="str">
        <f>IF(SUMIFS(TrackingTime!H:H,TrackingTime!F:F,Timer!B173,TrackingTime!C:C,Start!$F$3)&gt;0,SUMIFS(TrackingTime!H:H,TrackingTime!F:F,Timer!B173,TrackingTime!C:C,Start!$F$3),"")</f>
        <v/>
      </c>
      <c r="AC173" s="71" t="str">
        <f t="shared" si="150"/>
        <v/>
      </c>
    </row>
    <row r="174" spans="1:29" x14ac:dyDescent="0.25">
      <c r="A174" s="15"/>
      <c r="B174" s="63">
        <f t="shared" si="188"/>
        <v>46114</v>
      </c>
      <c r="C174">
        <f>IFERROR(IF(OR(L174="Fri",L174="Ferie",L174="Syk",L174="Omsorg",B174&lt;Start!$B$7),0,IF(IFERROR(MATCH(B174,Start!A$253:A$273,0),0)&gt;0,VLOOKUP(B174,Start!A$253:F$273,3,FALSE)/100*Start!$B$4,VLOOKUP(WEEKDAY(B174,2),Start!A$240:F$246,4,FALSE))),"")</f>
        <v>0</v>
      </c>
      <c r="D174">
        <f>IFERROR(IF(OR(U174="Fri",U174="Ferie",U174="Syk",U174="Omsorg",B174&lt;Start!$F$7),0,IF(IFERROR(MATCH(B174,Start!A$253:A$273,0),0)&gt;0,VLOOKUP(B174,Start!A$253:F$273,3,FALSE)/100*Start!$F$4,VLOOKUP(WEEKDAY(B174,2),Start!A$240:F$246,6,FALSE))),"")</f>
        <v>0</v>
      </c>
      <c r="E174">
        <f t="shared" ca="1" si="173"/>
        <v>0</v>
      </c>
      <c r="F174">
        <f>IFERROR(IF(YEAR(B174)=Start!$B$1,MONTH(B174),""),"")</f>
        <v>4</v>
      </c>
      <c r="G174" s="64" t="str">
        <f>IFERROR(VLOOKUP(B174,Start!A$111:B$273,2,FALSE),"")</f>
        <v>Skjærtorsdag</v>
      </c>
      <c r="H174" s="21"/>
      <c r="I174" s="78">
        <v>0.33333333333333331</v>
      </c>
      <c r="J174" s="78">
        <v>0.33333333333333331</v>
      </c>
      <c r="K174" s="1" t="str">
        <f>IF(Start!$B$6="Ja","",IF(((J174-I174)*24)&gt;=5.5,"X",""))</f>
        <v/>
      </c>
      <c r="L174" s="1" t="str">
        <f>IF(_xlfn.IFNA(MATCH($A171,Start!$H$3:$H$11,0),0)&gt;0,"Ferie",IFERROR(IF(VLOOKUP(B174,Start!A$165:B$234,2,FALSE)&gt;0,"Fri",0),IF(AND((J174-I174)=0,Z174=""),"",MAX((IF(K174="X",(J174-I174)*24-0.5,(J174-I174)*24)),Z174))))</f>
        <v>Fri</v>
      </c>
      <c r="M174" s="58"/>
      <c r="N174" s="21" t="str">
        <f t="shared" si="184"/>
        <v/>
      </c>
      <c r="O174" s="21" t="str">
        <f t="shared" si="185"/>
        <v>Fri</v>
      </c>
      <c r="P174" s="2"/>
      <c r="Q174" s="21"/>
      <c r="R174" s="78">
        <v>0.33333333333333331</v>
      </c>
      <c r="S174" s="78">
        <v>0.33333333333333331</v>
      </c>
      <c r="T174" s="1" t="str">
        <f>IF(Start!$B$6="Ja","",IF(((S174-R174)*24)&gt;=5.5,"X",""))</f>
        <v/>
      </c>
      <c r="U174" s="1" t="str">
        <f>IF(_xlfn.IFNA(MATCH($A$15,Start!$H$3:$H$11,0),0)&gt;0,"Ferie",(IF(L174="fri","Fri",(IF(L174="syk","Syk",IF(L174="Ferie","Ferie",IF(AND((S174-R174)=0,AB174=""),"",MAX((IF(T174="X",(S174-R174)*24-0.5,(S174-R174)*24)),AB174))))))))</f>
        <v>Fri</v>
      </c>
      <c r="V174" s="58"/>
      <c r="W174" s="21" t="str">
        <f t="shared" si="186"/>
        <v/>
      </c>
      <c r="X174" s="21" t="str">
        <f t="shared" si="187"/>
        <v>Fri</v>
      </c>
      <c r="Z174" s="70" t="str">
        <f>IF(SUMIFS(TrackingTime!H:H,TrackingTime!F:F,Timer!B174,TrackingTime!C:C,"Hovedkontoret")&gt;0,SUMIFS(TrackingTime!H:H,TrackingTime!F:F,Timer!B174,TrackingTime!C:C,"Hovedkontoret"),"")</f>
        <v/>
      </c>
      <c r="AA174" s="71" t="str">
        <f t="shared" si="147"/>
        <v/>
      </c>
      <c r="AB174" t="str">
        <f>IF(SUMIFS(TrackingTime!H:H,TrackingTime!F:F,Timer!B174,TrackingTime!C:C,Start!$F$3)&gt;0,SUMIFS(TrackingTime!H:H,TrackingTime!F:F,Timer!B174,TrackingTime!C:C,Start!$F$3),"")</f>
        <v/>
      </c>
      <c r="AC174" s="71" t="str">
        <f t="shared" si="150"/>
        <v/>
      </c>
    </row>
    <row r="175" spans="1:29" x14ac:dyDescent="0.25">
      <c r="A175" s="15"/>
      <c r="B175" s="63">
        <f t="shared" si="188"/>
        <v>46115</v>
      </c>
      <c r="C175">
        <f>IFERROR(IF(OR(L175="Fri",L175="Ferie",L175="Syk",L175="Omsorg",B175&lt;Start!$B$7),0,IF(IFERROR(MATCH(B175,Start!A$253:A$273,0),0)&gt;0,VLOOKUP(B175,Start!A$253:F$273,3,FALSE)/100*Start!$B$4,VLOOKUP(WEEKDAY(B175,2),Start!A$240:F$246,4,FALSE))),"")</f>
        <v>0</v>
      </c>
      <c r="D175">
        <f>IFERROR(IF(OR(U175="Fri",U175="Ferie",U175="Syk",U175="Omsorg",B175&lt;Start!$F$7),0,IF(IFERROR(MATCH(B175,Start!A$253:A$273,0),0)&gt;0,VLOOKUP(B175,Start!A$253:F$273,3,FALSE)/100*Start!$F$4,VLOOKUP(WEEKDAY(B175,2),Start!A$240:F$246,6,FALSE))),"")</f>
        <v>0</v>
      </c>
      <c r="E175">
        <f t="shared" ca="1" si="173"/>
        <v>0</v>
      </c>
      <c r="F175">
        <f>IFERROR(IF(YEAR(B175)=Start!$B$1,MONTH(B175),""),"")</f>
        <v>4</v>
      </c>
      <c r="G175" s="64" t="str">
        <f>IFERROR(VLOOKUP(B175,Start!A$111:B$273,2,FALSE),"")</f>
        <v>Langfredag</v>
      </c>
      <c r="H175" s="21"/>
      <c r="I175" s="78">
        <v>0.33333333333333331</v>
      </c>
      <c r="J175" s="78">
        <v>0.33333333333333331</v>
      </c>
      <c r="K175" s="1" t="str">
        <f>IF(Start!$B$6="Ja","",IF(((J175-I175)*24)&gt;=5.5,"X",""))</f>
        <v/>
      </c>
      <c r="L175" s="1" t="str">
        <f>IF(_xlfn.IFNA(MATCH($A171,Start!$H$3:$H$11,0),0)&gt;0,"Ferie",IFERROR(IF(VLOOKUP(B175,Start!A$165:B$234,2,FALSE)&gt;0,"Fri",0),IF(AND((J175-I175)=0,Z175=""),"",MAX((IF(K175="X",(J175-I175)*24-0.5,(J175-I175)*24)),Z175))))</f>
        <v>Fri</v>
      </c>
      <c r="M175" s="58"/>
      <c r="N175" s="21" t="str">
        <f t="shared" si="184"/>
        <v/>
      </c>
      <c r="O175" s="21" t="str">
        <f t="shared" si="185"/>
        <v>Fri</v>
      </c>
      <c r="P175" s="2"/>
      <c r="Q175" s="21"/>
      <c r="R175" s="78">
        <v>0.33333333333333331</v>
      </c>
      <c r="S175" s="78">
        <v>0.33333333333333331</v>
      </c>
      <c r="T175" s="1" t="str">
        <f>IF(Start!$B$6="Ja","",IF(((S175-R175)*24)&gt;=5.5,"X",""))</f>
        <v/>
      </c>
      <c r="U175" s="1" t="str">
        <f>IF(_xlfn.IFNA(MATCH($A$15,Start!$H$3:$H$11,0),0)&gt;0,"Ferie",(IF(L175="fri","Fri",(IF(L175="syk","Syk",IF(L175="Ferie","Ferie",IF(AND((S175-R175)=0,AB175=""),"",MAX((IF(T175="X",(S175-R175)*24-0.5,(S175-R175)*24)),AB175))))))))</f>
        <v>Fri</v>
      </c>
      <c r="V175" s="58"/>
      <c r="W175" s="21" t="str">
        <f t="shared" si="186"/>
        <v/>
      </c>
      <c r="X175" s="21" t="str">
        <f t="shared" si="187"/>
        <v>Fri</v>
      </c>
      <c r="Z175" s="70" t="str">
        <f>IF(SUMIFS(TrackingTime!H:H,TrackingTime!F:F,Timer!B175,TrackingTime!C:C,"Hovedkontoret")&gt;0,SUMIFS(TrackingTime!H:H,TrackingTime!F:F,Timer!B175,TrackingTime!C:C,"Hovedkontoret"),"")</f>
        <v/>
      </c>
      <c r="AA175" s="71" t="str">
        <f t="shared" si="147"/>
        <v/>
      </c>
      <c r="AB175" t="str">
        <f>IF(SUMIFS(TrackingTime!H:H,TrackingTime!F:F,Timer!B175,TrackingTime!C:C,Start!$F$3)&gt;0,SUMIFS(TrackingTime!H:H,TrackingTime!F:F,Timer!B175,TrackingTime!C:C,Start!$F$3),"")</f>
        <v/>
      </c>
      <c r="AC175" s="71" t="str">
        <f t="shared" si="150"/>
        <v/>
      </c>
    </row>
    <row r="176" spans="1:29" x14ac:dyDescent="0.25">
      <c r="A176" s="15"/>
      <c r="B176" s="63">
        <f t="shared" si="188"/>
        <v>46116</v>
      </c>
      <c r="C176">
        <f>IFERROR(IF(OR(L176="Fri",L176="Ferie",L176="Syk",L176="Omsorg",B176&lt;Start!$B$7),0,IF(IFERROR(MATCH(B176,Start!A$253:A$273,0),0)&gt;0,VLOOKUP(B176,Start!A$253:F$273,3,FALSE)/100*Start!$B$4,VLOOKUP(WEEKDAY(B176,2),Start!A$240:F$246,4,FALSE))),"")</f>
        <v>0</v>
      </c>
      <c r="D176">
        <f>IFERROR(IF(OR(U176="Fri",U176="Ferie",U176="Syk",U176="Omsorg",B176&lt;Start!$F$7),0,IF(IFERROR(MATCH(B176,Start!A$253:A$273,0),0)&gt;0,VLOOKUP(B176,Start!A$253:F$273,3,FALSE)/100*Start!$F$4,VLOOKUP(WEEKDAY(B176,2),Start!A$240:F$246,6,FALSE))),"")</f>
        <v>0</v>
      </c>
      <c r="E176">
        <f t="shared" ca="1" si="173"/>
        <v>0</v>
      </c>
      <c r="F176">
        <f>IFERROR(IF(YEAR(B176)=Start!$B$1,MONTH(B176),""),"")</f>
        <v>4</v>
      </c>
      <c r="G176" s="64" t="str">
        <f>IFERROR(VLOOKUP(B176,Start!A$111:B$273,2,FALSE),"")</f>
        <v/>
      </c>
      <c r="H176" s="21"/>
      <c r="I176" s="78">
        <v>0.41666666666666669</v>
      </c>
      <c r="J176" s="78">
        <v>0.41666666666666669</v>
      </c>
      <c r="K176" s="1" t="str">
        <f>IF(Start!$B$6="Ja","",IF(((J176-I176)*24)&gt;=5.5,"X",""))</f>
        <v/>
      </c>
      <c r="L176" s="1" t="str">
        <f t="shared" ref="L176:L177" si="189">IF(AND((J176-I176)=0,Z176=""),"",MAX((IF(K176="X",(J176-I176)*24-0.5,(J176-I176)*24)),Z176))</f>
        <v/>
      </c>
      <c r="M176" s="58"/>
      <c r="N176" s="21" t="str">
        <f t="shared" si="184"/>
        <v/>
      </c>
      <c r="O176" s="21" t="str">
        <f t="shared" si="185"/>
        <v/>
      </c>
      <c r="P176" s="2"/>
      <c r="Q176" s="21"/>
      <c r="R176" s="78">
        <v>0.41666666666666669</v>
      </c>
      <c r="S176" s="78">
        <v>0.41666666666666669</v>
      </c>
      <c r="T176" s="1" t="str">
        <f>IF(Start!$B$6="Ja","",IF(((S176-R176)*24)&gt;=5.5,"X",""))</f>
        <v/>
      </c>
      <c r="U176" s="1" t="str">
        <f t="shared" ref="U176:U177" si="190">IF(AND((S176-R176)=0,AB176=""),"",MAX((IF(T176="X",(S176-R176)*24-0.5,(S176-R176)*24)),AB176))</f>
        <v/>
      </c>
      <c r="V176" s="58"/>
      <c r="W176" s="21" t="str">
        <f t="shared" si="186"/>
        <v/>
      </c>
      <c r="X176" s="21" t="str">
        <f t="shared" si="187"/>
        <v/>
      </c>
      <c r="Z176" s="70" t="str">
        <f>IF(SUMIFS(TrackingTime!H:H,TrackingTime!F:F,Timer!B176,TrackingTime!C:C,"Hovedkontoret")&gt;0,SUMIFS(TrackingTime!H:H,TrackingTime!F:F,Timer!B176,TrackingTime!C:C,"Hovedkontoret"),"")</f>
        <v/>
      </c>
      <c r="AA176" s="71" t="str">
        <f t="shared" si="147"/>
        <v/>
      </c>
      <c r="AB176" t="str">
        <f>IF(SUMIFS(TrackingTime!H:H,TrackingTime!F:F,Timer!B176,TrackingTime!C:C,Start!$F$3)&gt;0,SUMIFS(TrackingTime!H:H,TrackingTime!F:F,Timer!B176,TrackingTime!C:C,Start!$F$3),"")</f>
        <v/>
      </c>
      <c r="AC176" s="71" t="str">
        <f t="shared" si="150"/>
        <v/>
      </c>
    </row>
    <row r="177" spans="1:29" x14ac:dyDescent="0.25">
      <c r="A177" s="15"/>
      <c r="B177" s="63">
        <f t="shared" si="188"/>
        <v>46117</v>
      </c>
      <c r="C177">
        <f>IFERROR(IF(OR(L177="Fri",L177="Ferie",L177="Syk",L177="Omsorg",B177&lt;Start!$B$7),0,IF(IFERROR(MATCH(B177,Start!A$253:A$273,0),0)&gt;0,VLOOKUP(B177,Start!A$253:F$273,3,FALSE)/100*Start!$B$4,VLOOKUP(WEEKDAY(B177,2),Start!A$240:F$246,4,FALSE))),"")</f>
        <v>0</v>
      </c>
      <c r="D177">
        <f>IFERROR(IF(OR(U177="Fri",U177="Ferie",U177="Syk",U177="Omsorg",B177&lt;Start!$F$7),0,IF(IFERROR(MATCH(B177,Start!A$253:A$273,0),0)&gt;0,VLOOKUP(B177,Start!A$253:F$273,3,FALSE)/100*Start!$F$4,VLOOKUP(WEEKDAY(B177,2),Start!A$240:F$246,6,FALSE))),"")</f>
        <v>0</v>
      </c>
      <c r="E177">
        <f t="shared" ca="1" si="173"/>
        <v>0</v>
      </c>
      <c r="F177">
        <f>IFERROR(IF(YEAR(B177)=Start!$B$1,MONTH(B177),""),"")</f>
        <v>4</v>
      </c>
      <c r="G177" s="64" t="str">
        <f>IFERROR(VLOOKUP(B177,Start!A$111:B$273,2,FALSE),"")</f>
        <v>1. påskedag</v>
      </c>
      <c r="H177" s="25"/>
      <c r="I177" s="78">
        <v>0.41666666666666669</v>
      </c>
      <c r="J177" s="78">
        <v>0.41666666666666669</v>
      </c>
      <c r="K177" s="1" t="str">
        <f>IF(Start!$B$6="Ja","",IF(((J177-I177)*24)&gt;=5.5,"X",""))</f>
        <v/>
      </c>
      <c r="L177" s="1" t="str">
        <f t="shared" si="189"/>
        <v/>
      </c>
      <c r="M177" s="58"/>
      <c r="N177" s="21" t="str">
        <f t="shared" si="184"/>
        <v/>
      </c>
      <c r="O177" s="21" t="str">
        <f t="shared" si="185"/>
        <v/>
      </c>
      <c r="Q177" s="25"/>
      <c r="R177" s="78">
        <v>0.41666666666666669</v>
      </c>
      <c r="S177" s="78">
        <v>0.41666666666666669</v>
      </c>
      <c r="T177" s="1" t="str">
        <f>IF(Start!$B$6="Ja","",IF(((S177-R177)*24)&gt;=5.5,"X",""))</f>
        <v/>
      </c>
      <c r="U177" s="1" t="str">
        <f t="shared" si="190"/>
        <v/>
      </c>
      <c r="V177" s="58"/>
      <c r="W177" s="21" t="str">
        <f t="shared" si="186"/>
        <v/>
      </c>
      <c r="X177" s="21" t="str">
        <f t="shared" si="187"/>
        <v/>
      </c>
      <c r="Z177" s="70" t="str">
        <f>IF(SUMIFS(TrackingTime!H:H,TrackingTime!F:F,Timer!B177,TrackingTime!C:C,"Hovedkontoret")&gt;0,SUMIFS(TrackingTime!H:H,TrackingTime!F:F,Timer!B177,TrackingTime!C:C,"Hovedkontoret"),"")</f>
        <v/>
      </c>
      <c r="AA177" s="71" t="str">
        <f t="shared" si="147"/>
        <v/>
      </c>
      <c r="AB177" t="str">
        <f>IF(SUMIFS(TrackingTime!H:H,TrackingTime!F:F,Timer!B177,TrackingTime!C:C,Start!$F$3)&gt;0,SUMIFS(TrackingTime!H:H,TrackingTime!F:F,Timer!B177,TrackingTime!C:C,Start!$F$3),"")</f>
        <v/>
      </c>
      <c r="AC177" s="71" t="str">
        <f t="shared" si="150"/>
        <v/>
      </c>
    </row>
    <row r="178" spans="1:29" x14ac:dyDescent="0.25">
      <c r="A178" s="15"/>
      <c r="B178" s="4" t="s">
        <v>11</v>
      </c>
      <c r="C178" s="24"/>
      <c r="D178" s="24"/>
      <c r="E178" s="24">
        <f t="shared" ca="1" si="173"/>
        <v>0</v>
      </c>
      <c r="F178" s="24" t="str">
        <f>IFERROR(IF(YEAR(B178)=Start!$B$1,MONTH(B178),""),"")</f>
        <v/>
      </c>
      <c r="G178" s="64" t="str">
        <f>IFERROR(VLOOKUP(B178,Start!A$111:B$273,2,FALSE),"")</f>
        <v/>
      </c>
      <c r="H178" s="4"/>
      <c r="I178" s="4"/>
      <c r="J178" s="4"/>
      <c r="K178" s="4"/>
      <c r="L178" s="5">
        <f t="shared" si="174"/>
        <v>0</v>
      </c>
      <c r="N178" s="24"/>
      <c r="O178" s="39">
        <f t="shared" ref="O178" si="191">SUM(O171:O177)</f>
        <v>0</v>
      </c>
      <c r="P178" s="40"/>
      <c r="Q178" s="41"/>
      <c r="R178" s="4"/>
      <c r="S178" s="4"/>
      <c r="T178" s="4"/>
      <c r="U178" s="5">
        <f t="shared" ref="U178" si="192">SUM($U171:$U177)</f>
        <v>0</v>
      </c>
      <c r="V178" s="58"/>
      <c r="W178" s="39"/>
      <c r="X178" s="39">
        <f t="shared" si="177"/>
        <v>0</v>
      </c>
      <c r="Z178" s="70" t="str">
        <f>IF(SUMIFS(TrackingTime!H:H,TrackingTime!F:F,Timer!B178,TrackingTime!C:C,"Hovedkontoret")&gt;0,SUMIFS(TrackingTime!H:H,TrackingTime!F:F,Timer!B178,TrackingTime!C:C,"Hovedkontoret"),"")</f>
        <v/>
      </c>
      <c r="AA178" s="71" t="str">
        <f t="shared" si="147"/>
        <v/>
      </c>
      <c r="AB178" t="str">
        <f>IF(SUMIFS(TrackingTime!H:H,TrackingTime!F:F,Timer!B178,TrackingTime!C:C,Start!$F$3)&gt;0,SUMIFS(TrackingTime!H:H,TrackingTime!F:F,Timer!B178,TrackingTime!C:C,Start!$F$3),"")</f>
        <v/>
      </c>
      <c r="AC178" s="71" t="str">
        <f t="shared" si="150"/>
        <v/>
      </c>
    </row>
    <row r="179" spans="1:29" x14ac:dyDescent="0.25">
      <c r="A179" s="15"/>
      <c r="B179" t="s">
        <v>90</v>
      </c>
      <c r="E179">
        <f t="shared" ca="1" si="173"/>
        <v>0</v>
      </c>
      <c r="F179" t="str">
        <f>IFERROR(IF(YEAR(B179)=Start!$B$1,MONTH(B179),""),"")</f>
        <v/>
      </c>
      <c r="G179" s="64" t="str">
        <f>IFERROR(VLOOKUP(B179,Start!A$111:B$273,2,FALSE),"")</f>
        <v/>
      </c>
      <c r="L179" s="1">
        <f t="shared" si="178"/>
        <v>0</v>
      </c>
      <c r="M179" s="1"/>
      <c r="N179" s="1"/>
      <c r="O179" s="21">
        <f t="shared" ref="O179" si="193">L179</f>
        <v>0</v>
      </c>
      <c r="P179" s="40"/>
      <c r="Q179" s="21"/>
      <c r="U179" s="1">
        <f t="shared" ref="U179" si="194">SUMIFS(D171:D177,F171:F177,"&gt;0")</f>
        <v>0</v>
      </c>
      <c r="V179" s="1"/>
      <c r="W179" s="1"/>
      <c r="X179" s="21">
        <f>U179</f>
        <v>0</v>
      </c>
      <c r="Z179" s="70" t="str">
        <f>IF(SUMIFS(TrackingTime!H:H,TrackingTime!F:F,Timer!B179,TrackingTime!C:C,"Hovedkontoret")&gt;0,SUMIFS(TrackingTime!H:H,TrackingTime!F:F,Timer!B179,TrackingTime!C:C,"Hovedkontoret"),"")</f>
        <v/>
      </c>
      <c r="AA179" s="71" t="str">
        <f t="shared" si="147"/>
        <v/>
      </c>
      <c r="AB179" t="str">
        <f>IF(SUMIFS(TrackingTime!H:H,TrackingTime!F:F,Timer!B179,TrackingTime!C:C,Start!$F$3)&gt;0,SUMIFS(TrackingTime!H:H,TrackingTime!F:F,Timer!B179,TrackingTime!C:C,Start!$F$3),"")</f>
        <v/>
      </c>
      <c r="AC179" s="71" t="str">
        <f t="shared" si="150"/>
        <v/>
      </c>
    </row>
    <row r="180" spans="1:29" x14ac:dyDescent="0.25">
      <c r="A180" s="16">
        <f>B177-B171-1</f>
        <v>5</v>
      </c>
      <c r="B180" t="s">
        <v>117</v>
      </c>
      <c r="E180">
        <f t="shared" ca="1" si="173"/>
        <v>0</v>
      </c>
      <c r="F180" t="str">
        <f>IFERROR(IF(YEAR(B180)=Start!$B$1,MONTH(B180),""),"")</f>
        <v/>
      </c>
      <c r="G180" s="64" t="str">
        <f>IFERROR(VLOOKUP(B180,Start!A$111:B$273,2,FALSE),"")</f>
        <v/>
      </c>
      <c r="L180" s="77">
        <f t="shared" ca="1" si="181"/>
        <v>0</v>
      </c>
      <c r="O180" s="21">
        <f t="shared" ref="O180" si="195">O178-O179</f>
        <v>0</v>
      </c>
      <c r="P180" s="21"/>
      <c r="Q180" s="21"/>
      <c r="U180" s="1">
        <f t="shared" ref="U180" ca="1" si="196">U178-U179*(IF(NETWORKDAYS($B171,TODAY())&lt;0,0,IF(NETWORKDAYS($B171,TODAY())&lt;=$A180,NETWORKDAYS($B171,TODAY()),$A180)))/$A180</f>
        <v>0</v>
      </c>
      <c r="V180" s="58"/>
      <c r="W180" s="21"/>
      <c r="X180" s="21">
        <f>X178-X179</f>
        <v>0</v>
      </c>
      <c r="Z180" s="70" t="str">
        <f>IF(SUMIFS(TrackingTime!H:H,TrackingTime!F:F,Timer!B180,TrackingTime!C:C,"Hovedkontoret")&gt;0,SUMIFS(TrackingTime!H:H,TrackingTime!F:F,Timer!B180,TrackingTime!C:C,"Hovedkontoret"),"")</f>
        <v/>
      </c>
      <c r="AA180" s="71" t="str">
        <f t="shared" si="147"/>
        <v/>
      </c>
      <c r="AB180" t="str">
        <f>IF(SUMIFS(TrackingTime!H:H,TrackingTime!F:F,Timer!B180,TrackingTime!C:C,Start!$F$3)&gt;0,SUMIFS(TrackingTime!H:H,TrackingTime!F:F,Timer!B180,TrackingTime!C:C,Start!$F$3),"")</f>
        <v/>
      </c>
      <c r="AC180" s="71" t="str">
        <f t="shared" si="150"/>
        <v/>
      </c>
    </row>
    <row r="181" spans="1:29" x14ac:dyDescent="0.25">
      <c r="A181" s="15"/>
      <c r="E181">
        <f t="shared" ca="1" si="173"/>
        <v>1</v>
      </c>
      <c r="F181" t="str">
        <f>IFERROR(IF(YEAR(B181)=Start!$B$1,MONTH(B181),""),"")</f>
        <v/>
      </c>
      <c r="G181" s="64" t="str">
        <f>IFERROR(VLOOKUP(B181,Start!A$111:B$273,2,FALSE),"")</f>
        <v/>
      </c>
      <c r="O181" s="2"/>
      <c r="P181" s="2"/>
      <c r="U181" s="1"/>
      <c r="V181" s="7"/>
      <c r="X181" s="2"/>
      <c r="Z181" s="70" t="str">
        <f>IF(SUMIFS(TrackingTime!H:H,TrackingTime!F:F,Timer!B181,TrackingTime!C:C,"Hovedkontoret")&gt;0,SUMIFS(TrackingTime!H:H,TrackingTime!F:F,Timer!B181,TrackingTime!C:C,"Hovedkontoret"),"")</f>
        <v/>
      </c>
      <c r="AA181" s="71" t="str">
        <f t="shared" si="147"/>
        <v/>
      </c>
      <c r="AB181" t="str">
        <f>IF(SUMIFS(TrackingTime!H:H,TrackingTime!F:F,Timer!B181,TrackingTime!C:C,Start!$F$3)&gt;0,SUMIFS(TrackingTime!H:H,TrackingTime!F:F,Timer!B181,TrackingTime!C:C,Start!$F$3),"")</f>
        <v/>
      </c>
      <c r="AC181" s="71" t="str">
        <f t="shared" si="150"/>
        <v/>
      </c>
    </row>
    <row r="182" spans="1:29" x14ac:dyDescent="0.25">
      <c r="A182" s="2" t="s">
        <v>82</v>
      </c>
      <c r="B182" s="14" t="s">
        <v>83</v>
      </c>
      <c r="E182">
        <f t="shared" ca="1" si="173"/>
        <v>0</v>
      </c>
      <c r="F182" t="str">
        <f>IFERROR(IF(YEAR(B182)=Start!$B$1,MONTH(B182),""),"")</f>
        <v/>
      </c>
      <c r="G182" s="64" t="str">
        <f>IFERROR(VLOOKUP(B182,Start!A$111:B$273,2,FALSE),"")</f>
        <v/>
      </c>
      <c r="H182" s="2" t="s">
        <v>86</v>
      </c>
      <c r="I182" s="2" t="s">
        <v>125</v>
      </c>
      <c r="J182" s="2" t="s">
        <v>126</v>
      </c>
      <c r="K182" s="2" t="s">
        <v>127</v>
      </c>
      <c r="L182" s="3" t="s">
        <v>87</v>
      </c>
      <c r="M182" s="6"/>
      <c r="N182" s="2" t="s">
        <v>88</v>
      </c>
      <c r="O182" s="2" t="s">
        <v>89</v>
      </c>
      <c r="P182" s="2"/>
      <c r="Q182" s="2" t="s">
        <v>86</v>
      </c>
      <c r="R182" s="2" t="s">
        <v>125</v>
      </c>
      <c r="S182" s="2" t="s">
        <v>126</v>
      </c>
      <c r="T182" s="2" t="s">
        <v>127</v>
      </c>
      <c r="U182" s="3" t="s">
        <v>87</v>
      </c>
      <c r="V182" s="6"/>
      <c r="W182" s="2" t="s">
        <v>88</v>
      </c>
      <c r="X182" s="2" t="s">
        <v>89</v>
      </c>
      <c r="Z182" s="70" t="str">
        <f>IF(SUMIFS(TrackingTime!H:H,TrackingTime!F:F,Timer!B182,TrackingTime!C:C,"Hovedkontoret")&gt;0,SUMIFS(TrackingTime!H:H,TrackingTime!F:F,Timer!B182,TrackingTime!C:C,"Hovedkontoret"),"")</f>
        <v/>
      </c>
      <c r="AA182" s="71" t="str">
        <f t="shared" si="147"/>
        <v/>
      </c>
      <c r="AB182" t="str">
        <f>IF(SUMIFS(TrackingTime!H:H,TrackingTime!F:F,Timer!B182,TrackingTime!C:C,Start!$F$3)&gt;0,SUMIFS(TrackingTime!H:H,TrackingTime!F:F,Timer!B182,TrackingTime!C:C,Start!$F$3),"")</f>
        <v/>
      </c>
      <c r="AC182" s="71" t="str">
        <f t="shared" si="150"/>
        <v/>
      </c>
    </row>
    <row r="183" spans="1:29" x14ac:dyDescent="0.25">
      <c r="A183" s="15">
        <f>WEEKNUM(B183,21)</f>
        <v>15</v>
      </c>
      <c r="B183" s="63">
        <f>B177+(DAY(1))</f>
        <v>46118</v>
      </c>
      <c r="C183">
        <f>IFERROR(IF(OR(L183="Fri",L183="Ferie",L183="Syk",L183="Omsorg",B183&lt;Start!$B$7),0,IF(IFERROR(MATCH(B183,Start!A$253:A$273,0),0)&gt;0,VLOOKUP(B183,Start!A$253:F$273,3,FALSE)/100*Start!$B$4,VLOOKUP(WEEKDAY(B183,2),Start!A$240:F$246,4,FALSE))),"")</f>
        <v>0</v>
      </c>
      <c r="D183">
        <f>IFERROR(IF(OR(U183="Fri",U183="Ferie",U183="Syk",U183="Omsorg",B183&lt;Start!$F$7),0,IF(IFERROR(MATCH(B183,Start!A$253:A$273,0),0)&gt;0,VLOOKUP(B183,Start!A$253:F$273,3,FALSE)/100*Start!$F$4,VLOOKUP(WEEKDAY(B183,2),Start!A$240:F$246,6,FALSE))),"")</f>
        <v>0</v>
      </c>
      <c r="E183">
        <f t="shared" ca="1" si="173"/>
        <v>0</v>
      </c>
      <c r="F183">
        <f>IFERROR(IF(YEAR(B183)=Start!$B$1,MONTH(B183),""),"")</f>
        <v>4</v>
      </c>
      <c r="G183" s="64" t="str">
        <f>IFERROR(VLOOKUP(B183,Start!A$111:B$273,2,FALSE),"")</f>
        <v>2. påskedag</v>
      </c>
      <c r="H183" s="21"/>
      <c r="I183" s="78">
        <v>0.33333333333333331</v>
      </c>
      <c r="J183" s="78">
        <v>0.33333333333333331</v>
      </c>
      <c r="K183" s="1" t="str">
        <f>IF(Start!$B$6="Ja","",IF(((J183-I183)*24)&gt;=5.5,"X",""))</f>
        <v/>
      </c>
      <c r="L183" s="1" t="str">
        <f>IF(_xlfn.IFNA(MATCH($A183,Start!$H$3:$H$11,0),0)&gt;0,"Ferie",IFERROR(IF(VLOOKUP(B183,Start!A$165:B$234,2,FALSE)&gt;0,"Fri",0),IF(AND((J183-I183)=0,Z183=""),"",MAX((IF(K183="X",(J183-I183)*24-0.5,(J183-I183)*24)),Z183))))</f>
        <v>Fri</v>
      </c>
      <c r="M183" s="58"/>
      <c r="N183" s="21" t="str">
        <f t="shared" ref="N183:N189" si="197">IF(H183=0,"",H183)</f>
        <v/>
      </c>
      <c r="O183" s="21" t="str">
        <f t="shared" ref="O183:O189" si="198">IF(L183=0,"",L183)</f>
        <v>Fri</v>
      </c>
      <c r="P183" s="2"/>
      <c r="Q183" s="21"/>
      <c r="R183" s="78">
        <v>0.33333333333333331</v>
      </c>
      <c r="S183" s="78">
        <v>0.33333333333333331</v>
      </c>
      <c r="T183" s="1" t="str">
        <f>IF(Start!$B$6="Ja","",IF(((S183-R183)*24)&gt;=5.5,"X",""))</f>
        <v/>
      </c>
      <c r="U183" s="1" t="str">
        <f>IF(_xlfn.IFNA(MATCH($A$15,Start!$H$3:$H$11,0),0)&gt;0,"Ferie",(IF(L183="fri","Fri",(IF(L183="syk","Syk",IF(L183="Ferie","Ferie",IF(AND((S183-R183)=0,AB183=""),"",MAX((IF(T183="X",(S183-R183)*24-0.5,(S183-R183)*24)),AB183))))))))</f>
        <v>Fri</v>
      </c>
      <c r="V183" s="58"/>
      <c r="W183" s="21" t="str">
        <f t="shared" ref="W183:W189" si="199">IF(Q183=0,"",Q183)</f>
        <v/>
      </c>
      <c r="X183" s="21" t="str">
        <f t="shared" ref="X183:X189" si="200">IF(U183=0,"",U183)</f>
        <v>Fri</v>
      </c>
      <c r="Z183" s="70" t="str">
        <f>IF(SUMIFS(TrackingTime!H:H,TrackingTime!F:F,Timer!B183,TrackingTime!C:C,"Hovedkontoret")&gt;0,SUMIFS(TrackingTime!H:H,TrackingTime!F:F,Timer!B183,TrackingTime!C:C,"Hovedkontoret"),"")</f>
        <v/>
      </c>
      <c r="AA183" s="71" t="str">
        <f t="shared" si="147"/>
        <v/>
      </c>
      <c r="AB183" t="str">
        <f>IF(SUMIFS(TrackingTime!H:H,TrackingTime!F:F,Timer!B183,TrackingTime!C:C,Start!$F$3)&gt;0,SUMIFS(TrackingTime!H:H,TrackingTime!F:F,Timer!B183,TrackingTime!C:C,Start!$F$3),"")</f>
        <v/>
      </c>
      <c r="AC183" s="71" t="str">
        <f t="shared" si="150"/>
        <v/>
      </c>
    </row>
    <row r="184" spans="1:29" x14ac:dyDescent="0.25">
      <c r="A184" s="15"/>
      <c r="B184" s="63">
        <f t="shared" ref="B184:B189" si="201">B183+DAY(1)</f>
        <v>46119</v>
      </c>
      <c r="C184" t="str">
        <f>IFERROR(IF(OR(L184="Fri",L184="Ferie",L184="Syk",L184="Omsorg",B184&lt;Start!$B$7),0,IF(IFERROR(MATCH(B184,Start!A$253:A$273,0),0)&gt;0,VLOOKUP(B184,Start!A$253:F$273,3,FALSE)/100*Start!$B$4,VLOOKUP(WEEKDAY(B184,2),Start!A$240:F$246,4,FALSE))),"")</f>
        <v/>
      </c>
      <c r="D184" t="str">
        <f>IFERROR(IF(OR(U184="Fri",U184="Ferie",U184="Syk",U184="Omsorg",B184&lt;Start!$F$7),0,IF(IFERROR(MATCH(B184,Start!A$253:A$273,0),0)&gt;0,VLOOKUP(B184,Start!A$253:F$273,3,FALSE)/100*Start!$F$4,VLOOKUP(WEEKDAY(B184,2),Start!A$240:F$246,6,FALSE))),"")</f>
        <v/>
      </c>
      <c r="E184">
        <f t="shared" ca="1" si="173"/>
        <v>0</v>
      </c>
      <c r="F184">
        <f>IFERROR(IF(YEAR(B184)=Start!$B$1,MONTH(B184),""),"")</f>
        <v>4</v>
      </c>
      <c r="G184" s="64" t="str">
        <f>IFERROR(VLOOKUP(B184,Start!A$111:B$273,2,FALSE),"")</f>
        <v/>
      </c>
      <c r="H184" s="21"/>
      <c r="I184" s="78">
        <v>0.33333333333333331</v>
      </c>
      <c r="J184" s="78">
        <v>0.33333333333333331</v>
      </c>
      <c r="K184" s="1" t="str">
        <f>IF(Start!$B$6="Ja","",IF(((J184-I184)*24)&gt;=5.5,"X",""))</f>
        <v/>
      </c>
      <c r="L184" s="1" t="str">
        <f>IF(_xlfn.IFNA(MATCH($A183,Start!$H$3:$H$11,0),0)&gt;0,"Ferie",IFERROR(IF(VLOOKUP($B184,Start!$A$165:$B$234,2,FALSE)&gt;0,"Fri",0),IF(AND((J184-I184)=0,Z184=""),"",MAX((IF(K184="X",(J184-I184)*24-0.5,(J184-I184)*24)),Z184))))</f>
        <v/>
      </c>
      <c r="M184" s="58"/>
      <c r="N184" s="21" t="str">
        <f t="shared" si="197"/>
        <v/>
      </c>
      <c r="O184" s="21" t="str">
        <f t="shared" si="198"/>
        <v/>
      </c>
      <c r="P184" s="2"/>
      <c r="Q184" s="21"/>
      <c r="R184" s="78">
        <v>0.33333333333333331</v>
      </c>
      <c r="S184" s="78">
        <v>0.33333333333333331</v>
      </c>
      <c r="T184" s="1" t="str">
        <f>IF(Start!$B$6="Ja","",IF(((S184-R184)*24)&gt;=5.5,"X",""))</f>
        <v/>
      </c>
      <c r="U184" s="1" t="str">
        <f>IF(_xlfn.IFNA(MATCH($A$15,Start!$H$3:$H$11,0),0)&gt;0,"Ferie",(IF(L184="fri","Fri",(IF(L184="syk","Syk",IF(L184="Ferie","Ferie",IF(AND((S184-R184)=0,AB184=""),"",MAX((IF(T184="X",(S184-R184)*24-0.5,(S184-R184)*24)),AB184))))))))</f>
        <v/>
      </c>
      <c r="V184" s="58"/>
      <c r="W184" s="21" t="str">
        <f t="shared" si="199"/>
        <v/>
      </c>
      <c r="X184" s="21" t="str">
        <f t="shared" si="200"/>
        <v/>
      </c>
      <c r="Z184" s="70" t="str">
        <f>IF(SUMIFS(TrackingTime!H:H,TrackingTime!F:F,Timer!B184,TrackingTime!C:C,"Hovedkontoret")&gt;0,SUMIFS(TrackingTime!H:H,TrackingTime!F:F,Timer!B184,TrackingTime!C:C,"Hovedkontoret"),"")</f>
        <v/>
      </c>
      <c r="AA184" s="71" t="str">
        <f t="shared" si="147"/>
        <v/>
      </c>
      <c r="AB184" t="str">
        <f>IF(SUMIFS(TrackingTime!H:H,TrackingTime!F:F,Timer!B184,TrackingTime!C:C,Start!$F$3)&gt;0,SUMIFS(TrackingTime!H:H,TrackingTime!F:F,Timer!B184,TrackingTime!C:C,Start!$F$3),"")</f>
        <v/>
      </c>
      <c r="AC184" s="71" t="str">
        <f t="shared" si="150"/>
        <v/>
      </c>
    </row>
    <row r="185" spans="1:29" x14ac:dyDescent="0.25">
      <c r="A185" s="15"/>
      <c r="B185" s="63">
        <f t="shared" si="201"/>
        <v>46120</v>
      </c>
      <c r="C185" t="str">
        <f>IFERROR(IF(OR(L185="Fri",L185="Ferie",L185="Syk",L185="Omsorg",B185&lt;Start!$B$7),0,IF(IFERROR(MATCH(B185,Start!A$253:A$273,0),0)&gt;0,VLOOKUP(B185,Start!A$253:F$273,3,FALSE)/100*Start!$B$4,VLOOKUP(WEEKDAY(B185,2),Start!A$240:F$246,4,FALSE))),"")</f>
        <v/>
      </c>
      <c r="D185" t="str">
        <f>IFERROR(IF(OR(U185="Fri",U185="Ferie",U185="Syk",U185="Omsorg",B185&lt;Start!$F$7),0,IF(IFERROR(MATCH(B185,Start!A$253:A$273,0),0)&gt;0,VLOOKUP(B185,Start!A$253:F$273,3,FALSE)/100*Start!$F$4,VLOOKUP(WEEKDAY(B185,2),Start!A$240:F$246,6,FALSE))),"")</f>
        <v/>
      </c>
      <c r="E185">
        <f t="shared" ca="1" si="173"/>
        <v>0</v>
      </c>
      <c r="F185">
        <f>IFERROR(IF(YEAR(B185)=Start!$B$1,MONTH(B185),""),"")</f>
        <v>4</v>
      </c>
      <c r="G185" s="64" t="str">
        <f>IFERROR(VLOOKUP(B185,Start!A$111:B$273,2,FALSE),"")</f>
        <v/>
      </c>
      <c r="H185" s="21"/>
      <c r="I185" s="78">
        <v>0.33333333333333331</v>
      </c>
      <c r="J185" s="78">
        <v>0.33333333333333331</v>
      </c>
      <c r="K185" s="1" t="str">
        <f>IF(Start!$B$6="Ja","",IF(((J185-I185)*24)&gt;=5.5,"X",""))</f>
        <v/>
      </c>
      <c r="L185" s="1" t="str">
        <f>IF(_xlfn.IFNA(MATCH($A183,Start!$H$3:$H$11,0),0)&gt;0,"Ferie",IFERROR(IF(VLOOKUP(B185,Start!A$165:B$234,2,FALSE)&gt;0,"Fri",0),IF(AND((J185-I185)=0,Z185=""),"",MAX((IF(K185="X",(J185-I185)*24-0.5,(J185-I185)*24)),Z185))))</f>
        <v/>
      </c>
      <c r="M185" s="58"/>
      <c r="N185" s="21" t="str">
        <f t="shared" si="197"/>
        <v/>
      </c>
      <c r="O185" s="21" t="str">
        <f t="shared" si="198"/>
        <v/>
      </c>
      <c r="P185" s="2"/>
      <c r="Q185" s="21"/>
      <c r="R185" s="78">
        <v>0.33333333333333331</v>
      </c>
      <c r="S185" s="78">
        <v>0.33333333333333331</v>
      </c>
      <c r="T185" s="1" t="str">
        <f>IF(Start!$B$6="Ja","",IF(((S185-R185)*24)&gt;=5.5,"X",""))</f>
        <v/>
      </c>
      <c r="U185" s="1" t="str">
        <f>IF(_xlfn.IFNA(MATCH($A$15,Start!$H$3:$H$11,0),0)&gt;0,"Ferie",(IF(L185="fri","Fri",(IF(L185="syk","Syk",IF(L185="Ferie","Ferie",IF(AND((S185-R185)=0,AB185=""),"",MAX((IF(T185="X",(S185-R185)*24-0.5,(S185-R185)*24)),AB185))))))))</f>
        <v/>
      </c>
      <c r="V185" s="58"/>
      <c r="W185" s="21" t="str">
        <f t="shared" si="199"/>
        <v/>
      </c>
      <c r="X185" s="21" t="str">
        <f t="shared" si="200"/>
        <v/>
      </c>
      <c r="Z185" s="70" t="str">
        <f>IF(SUMIFS(TrackingTime!H:H,TrackingTime!F:F,Timer!B185,TrackingTime!C:C,"Hovedkontoret")&gt;0,SUMIFS(TrackingTime!H:H,TrackingTime!F:F,Timer!B185,TrackingTime!C:C,"Hovedkontoret"),"")</f>
        <v/>
      </c>
      <c r="AA185" s="71" t="str">
        <f t="shared" si="147"/>
        <v/>
      </c>
      <c r="AB185" t="str">
        <f>IF(SUMIFS(TrackingTime!H:H,TrackingTime!F:F,Timer!B185,TrackingTime!C:C,Start!$F$3)&gt;0,SUMIFS(TrackingTime!H:H,TrackingTime!F:F,Timer!B185,TrackingTime!C:C,Start!$F$3),"")</f>
        <v/>
      </c>
      <c r="AC185" s="71" t="str">
        <f t="shared" si="150"/>
        <v/>
      </c>
    </row>
    <row r="186" spans="1:29" x14ac:dyDescent="0.25">
      <c r="A186" s="15"/>
      <c r="B186" s="63">
        <f t="shared" si="201"/>
        <v>46121</v>
      </c>
      <c r="C186" t="str">
        <f>IFERROR(IF(OR(L186="Fri",L186="Ferie",L186="Syk",L186="Omsorg",B186&lt;Start!$B$7),0,IF(IFERROR(MATCH(B186,Start!A$253:A$273,0),0)&gt;0,VLOOKUP(B186,Start!A$253:F$273,3,FALSE)/100*Start!$B$4,VLOOKUP(WEEKDAY(B186,2),Start!A$240:F$246,4,FALSE))),"")</f>
        <v/>
      </c>
      <c r="D186" t="str">
        <f>IFERROR(IF(OR(U186="Fri",U186="Ferie",U186="Syk",U186="Omsorg",B186&lt;Start!$F$7),0,IF(IFERROR(MATCH(B186,Start!A$253:A$273,0),0)&gt;0,VLOOKUP(B186,Start!A$253:F$273,3,FALSE)/100*Start!$F$4,VLOOKUP(WEEKDAY(B186,2),Start!A$240:F$246,6,FALSE))),"")</f>
        <v/>
      </c>
      <c r="E186">
        <f t="shared" ca="1" si="173"/>
        <v>0</v>
      </c>
      <c r="F186">
        <f>IFERROR(IF(YEAR(B186)=Start!$B$1,MONTH(B186),""),"")</f>
        <v>4</v>
      </c>
      <c r="G186" s="64" t="str">
        <f>IFERROR(VLOOKUP(B186,Start!A$111:B$273,2,FALSE),"")</f>
        <v/>
      </c>
      <c r="H186" s="21"/>
      <c r="I186" s="78">
        <v>0.33333333333333331</v>
      </c>
      <c r="J186" s="78">
        <v>0.33333333333333331</v>
      </c>
      <c r="K186" s="1" t="str">
        <f>IF(Start!$B$6="Ja","",IF(((J186-I186)*24)&gt;=5.5,"X",""))</f>
        <v/>
      </c>
      <c r="L186" s="1" t="str">
        <f>IF(_xlfn.IFNA(MATCH($A183,Start!$H$3:$H$11,0),0)&gt;0,"Ferie",IFERROR(IF(VLOOKUP(B186,Start!A$165:B$234,2,FALSE)&gt;0,"Fri",0),IF(AND((J186-I186)=0,Z186=""),"",MAX((IF(K186="X",(J186-I186)*24-0.5,(J186-I186)*24)),Z186))))</f>
        <v/>
      </c>
      <c r="M186" s="58"/>
      <c r="N186" s="21" t="str">
        <f t="shared" si="197"/>
        <v/>
      </c>
      <c r="O186" s="21" t="str">
        <f t="shared" si="198"/>
        <v/>
      </c>
      <c r="P186" s="2"/>
      <c r="Q186" s="21"/>
      <c r="R186" s="78">
        <v>0.33333333333333331</v>
      </c>
      <c r="S186" s="78">
        <v>0.33333333333333331</v>
      </c>
      <c r="T186" s="1" t="str">
        <f>IF(Start!$B$6="Ja","",IF(((S186-R186)*24)&gt;=5.5,"X",""))</f>
        <v/>
      </c>
      <c r="U186" s="1" t="str">
        <f>IF(_xlfn.IFNA(MATCH($A$15,Start!$H$3:$H$11,0),0)&gt;0,"Ferie",(IF(L186="fri","Fri",(IF(L186="syk","Syk",IF(L186="Ferie","Ferie",IF(AND((S186-R186)=0,AB186=""),"",MAX((IF(T186="X",(S186-R186)*24-0.5,(S186-R186)*24)),AB186))))))))</f>
        <v/>
      </c>
      <c r="V186" s="58"/>
      <c r="W186" s="21" t="str">
        <f t="shared" si="199"/>
        <v/>
      </c>
      <c r="X186" s="21" t="str">
        <f t="shared" si="200"/>
        <v/>
      </c>
      <c r="Z186" s="70" t="str">
        <f>IF(SUMIFS(TrackingTime!H:H,TrackingTime!F:F,Timer!B186,TrackingTime!C:C,"Hovedkontoret")&gt;0,SUMIFS(TrackingTime!H:H,TrackingTime!F:F,Timer!B186,TrackingTime!C:C,"Hovedkontoret"),"")</f>
        <v/>
      </c>
      <c r="AA186" s="71" t="str">
        <f t="shared" si="147"/>
        <v/>
      </c>
      <c r="AB186" t="str">
        <f>IF(SUMIFS(TrackingTime!H:H,TrackingTime!F:F,Timer!B186,TrackingTime!C:C,Start!$F$3)&gt;0,SUMIFS(TrackingTime!H:H,TrackingTime!F:F,Timer!B186,TrackingTime!C:C,Start!$F$3),"")</f>
        <v/>
      </c>
      <c r="AC186" s="71" t="str">
        <f t="shared" si="150"/>
        <v/>
      </c>
    </row>
    <row r="187" spans="1:29" x14ac:dyDescent="0.25">
      <c r="A187" s="15"/>
      <c r="B187" s="63">
        <f t="shared" si="201"/>
        <v>46122</v>
      </c>
      <c r="C187" t="str">
        <f>IFERROR(IF(OR(L187="Fri",L187="Ferie",L187="Syk",L187="Omsorg",B187&lt;Start!$B$7),0,IF(IFERROR(MATCH(B187,Start!A$253:A$273,0),0)&gt;0,VLOOKUP(B187,Start!A$253:F$273,3,FALSE)/100*Start!$B$4,VLOOKUP(WEEKDAY(B187,2),Start!A$240:F$246,4,FALSE))),"")</f>
        <v/>
      </c>
      <c r="D187" t="str">
        <f>IFERROR(IF(OR(U187="Fri",U187="Ferie",U187="Syk",U187="Omsorg",B187&lt;Start!$F$7),0,IF(IFERROR(MATCH(B187,Start!A$253:A$273,0),0)&gt;0,VLOOKUP(B187,Start!A$253:F$273,3,FALSE)/100*Start!$F$4,VLOOKUP(WEEKDAY(B187,2),Start!A$240:F$246,6,FALSE))),"")</f>
        <v/>
      </c>
      <c r="E187">
        <f t="shared" ca="1" si="173"/>
        <v>0</v>
      </c>
      <c r="F187">
        <f>IFERROR(IF(YEAR(B187)=Start!$B$1,MONTH(B187),""),"")</f>
        <v>4</v>
      </c>
      <c r="G187" s="64" t="str">
        <f>IFERROR(VLOOKUP(B187,Start!A$111:B$273,2,FALSE),"")</f>
        <v/>
      </c>
      <c r="H187" s="21"/>
      <c r="I187" s="78">
        <v>0.33333333333333331</v>
      </c>
      <c r="J187" s="78">
        <v>0.33333333333333331</v>
      </c>
      <c r="K187" s="1" t="str">
        <f>IF(Start!$B$6="Ja","",IF(((J187-I187)*24)&gt;=5.5,"X",""))</f>
        <v/>
      </c>
      <c r="L187" s="1" t="str">
        <f>IF(_xlfn.IFNA(MATCH($A183,Start!$H$3:$H$11,0),0)&gt;0,"Ferie",IFERROR(IF(VLOOKUP(B187,Start!A$165:B$234,2,FALSE)&gt;0,"Fri",0),IF(AND((J187-I187)=0,Z187=""),"",MAX((IF(K187="X",(J187-I187)*24-0.5,(J187-I187)*24)),Z187))))</f>
        <v/>
      </c>
      <c r="M187" s="58"/>
      <c r="N187" s="21" t="str">
        <f t="shared" si="197"/>
        <v/>
      </c>
      <c r="O187" s="21" t="str">
        <f t="shared" si="198"/>
        <v/>
      </c>
      <c r="P187" s="2"/>
      <c r="Q187" s="21"/>
      <c r="R187" s="78">
        <v>0.33333333333333331</v>
      </c>
      <c r="S187" s="78">
        <v>0.33333333333333331</v>
      </c>
      <c r="T187" s="1" t="str">
        <f>IF(Start!$B$6="Ja","",IF(((S187-R187)*24)&gt;=5.5,"X",""))</f>
        <v/>
      </c>
      <c r="U187" s="1" t="str">
        <f>IF(_xlfn.IFNA(MATCH($A$15,Start!$H$3:$H$11,0),0)&gt;0,"Ferie",(IF(L187="fri","Fri",(IF(L187="syk","Syk",IF(L187="Ferie","Ferie",IF(AND((S187-R187)=0,AB187=""),"",MAX((IF(T187="X",(S187-R187)*24-0.5,(S187-R187)*24)),AB187))))))))</f>
        <v/>
      </c>
      <c r="V187" s="58"/>
      <c r="W187" s="21" t="str">
        <f t="shared" si="199"/>
        <v/>
      </c>
      <c r="X187" s="21" t="str">
        <f t="shared" si="200"/>
        <v/>
      </c>
      <c r="Z187" s="70" t="str">
        <f>IF(SUMIFS(TrackingTime!H:H,TrackingTime!F:F,Timer!B187,TrackingTime!C:C,"Hovedkontoret")&gt;0,SUMIFS(TrackingTime!H:H,TrackingTime!F:F,Timer!B187,TrackingTime!C:C,"Hovedkontoret"),"")</f>
        <v/>
      </c>
      <c r="AA187" s="71" t="str">
        <f t="shared" si="147"/>
        <v/>
      </c>
      <c r="AB187" t="str">
        <f>IF(SUMIFS(TrackingTime!H:H,TrackingTime!F:F,Timer!B187,TrackingTime!C:C,Start!$F$3)&gt;0,SUMIFS(TrackingTime!H:H,TrackingTime!F:F,Timer!B187,TrackingTime!C:C,Start!$F$3),"")</f>
        <v/>
      </c>
      <c r="AC187" s="71" t="str">
        <f t="shared" si="150"/>
        <v/>
      </c>
    </row>
    <row r="188" spans="1:29" x14ac:dyDescent="0.25">
      <c r="A188" s="15"/>
      <c r="B188" s="63">
        <f t="shared" si="201"/>
        <v>46123</v>
      </c>
      <c r="C188">
        <f>IFERROR(IF(OR(L188="Fri",L188="Ferie",L188="Syk",L188="Omsorg",B188&lt;Start!$B$7),0,IF(IFERROR(MATCH(B188,Start!A$253:A$273,0),0)&gt;0,VLOOKUP(B188,Start!A$253:F$273,3,FALSE)/100*Start!$B$4,VLOOKUP(WEEKDAY(B188,2),Start!A$240:F$246,4,FALSE))),"")</f>
        <v>0</v>
      </c>
      <c r="D188">
        <f>IFERROR(IF(OR(U188="Fri",U188="Ferie",U188="Syk",U188="Omsorg",B188&lt;Start!$F$7),0,IF(IFERROR(MATCH(B188,Start!A$253:A$273,0),0)&gt;0,VLOOKUP(B188,Start!A$253:F$273,3,FALSE)/100*Start!$F$4,VLOOKUP(WEEKDAY(B188,2),Start!A$240:F$246,6,FALSE))),"")</f>
        <v>0</v>
      </c>
      <c r="E188">
        <f t="shared" ca="1" si="173"/>
        <v>0</v>
      </c>
      <c r="F188">
        <f>IFERROR(IF(YEAR(B188)=Start!$B$1,MONTH(B188),""),"")</f>
        <v>4</v>
      </c>
      <c r="G188" s="64" t="str">
        <f>IFERROR(VLOOKUP(B188,Start!A$111:B$273,2,FALSE),"")</f>
        <v/>
      </c>
      <c r="H188" s="21"/>
      <c r="I188" s="78">
        <v>0.41666666666666669</v>
      </c>
      <c r="J188" s="78">
        <v>0.41666666666666669</v>
      </c>
      <c r="K188" s="1" t="str">
        <f>IF(Start!$B$6="Ja","",IF(((J188-I188)*24)&gt;=5.5,"X",""))</f>
        <v/>
      </c>
      <c r="L188" s="1" t="str">
        <f t="shared" ref="L188:L189" si="202">IF(AND((J188-I188)=0,Z188=""),"",MAX((IF(K188="X",(J188-I188)*24-0.5,(J188-I188)*24)),Z188))</f>
        <v/>
      </c>
      <c r="M188" s="58"/>
      <c r="N188" s="21" t="str">
        <f t="shared" si="197"/>
        <v/>
      </c>
      <c r="O188" s="21" t="str">
        <f t="shared" si="198"/>
        <v/>
      </c>
      <c r="P188" s="2"/>
      <c r="Q188" s="21"/>
      <c r="R188" s="78">
        <v>0.41666666666666669</v>
      </c>
      <c r="S188" s="78">
        <v>0.41666666666666669</v>
      </c>
      <c r="T188" s="1" t="str">
        <f>IF(Start!$B$6="Ja","",IF(((S188-R188)*24)&gt;=5.5,"X",""))</f>
        <v/>
      </c>
      <c r="U188" s="1" t="str">
        <f t="shared" ref="U188:U189" si="203">IF(AND((S188-R188)=0,AB188=""),"",MAX((IF(T188="X",(S188-R188)*24-0.5,(S188-R188)*24)),AB188))</f>
        <v/>
      </c>
      <c r="V188" s="58"/>
      <c r="W188" s="21" t="str">
        <f t="shared" si="199"/>
        <v/>
      </c>
      <c r="X188" s="21" t="str">
        <f t="shared" si="200"/>
        <v/>
      </c>
      <c r="Z188" s="70" t="str">
        <f>IF(SUMIFS(TrackingTime!H:H,TrackingTime!F:F,Timer!B188,TrackingTime!C:C,"Hovedkontoret")&gt;0,SUMIFS(TrackingTime!H:H,TrackingTime!F:F,Timer!B188,TrackingTime!C:C,"Hovedkontoret"),"")</f>
        <v/>
      </c>
      <c r="AA188" s="71" t="str">
        <f t="shared" si="147"/>
        <v/>
      </c>
      <c r="AB188" t="str">
        <f>IF(SUMIFS(TrackingTime!H:H,TrackingTime!F:F,Timer!B188,TrackingTime!C:C,Start!$F$3)&gt;0,SUMIFS(TrackingTime!H:H,TrackingTime!F:F,Timer!B188,TrackingTime!C:C,Start!$F$3),"")</f>
        <v/>
      </c>
      <c r="AC188" s="71" t="str">
        <f t="shared" si="150"/>
        <v/>
      </c>
    </row>
    <row r="189" spans="1:29" x14ac:dyDescent="0.25">
      <c r="A189" s="15"/>
      <c r="B189" s="63">
        <f t="shared" si="201"/>
        <v>46124</v>
      </c>
      <c r="C189">
        <f>IFERROR(IF(OR(L189="Fri",L189="Ferie",L189="Syk",L189="Omsorg",B189&lt;Start!$B$7),0,IF(IFERROR(MATCH(B189,Start!A$253:A$273,0),0)&gt;0,VLOOKUP(B189,Start!A$253:F$273,3,FALSE)/100*Start!$B$4,VLOOKUP(WEEKDAY(B189,2),Start!A$240:F$246,4,FALSE))),"")</f>
        <v>0</v>
      </c>
      <c r="D189">
        <f>IFERROR(IF(OR(U189="Fri",U189="Ferie",U189="Syk",U189="Omsorg",B189&lt;Start!$F$7),0,IF(IFERROR(MATCH(B189,Start!A$253:A$273,0),0)&gt;0,VLOOKUP(B189,Start!A$253:F$273,3,FALSE)/100*Start!$F$4,VLOOKUP(WEEKDAY(B189,2),Start!A$240:F$246,6,FALSE))),"")</f>
        <v>0</v>
      </c>
      <c r="E189">
        <f t="shared" ca="1" si="173"/>
        <v>0</v>
      </c>
      <c r="F189">
        <f>IFERROR(IF(YEAR(B189)=Start!$B$1,MONTH(B189),""),"")</f>
        <v>4</v>
      </c>
      <c r="G189" s="64" t="str">
        <f>IFERROR(VLOOKUP(B189,Start!A$111:B$273,2,FALSE),"")</f>
        <v/>
      </c>
      <c r="H189" s="25"/>
      <c r="I189" s="78">
        <v>0.41666666666666669</v>
      </c>
      <c r="J189" s="78">
        <v>0.41666666666666669</v>
      </c>
      <c r="K189" s="1" t="str">
        <f>IF(Start!$B$6="Ja","",IF(((J189-I189)*24)&gt;=5.5,"X",""))</f>
        <v/>
      </c>
      <c r="L189" s="1" t="str">
        <f t="shared" si="202"/>
        <v/>
      </c>
      <c r="M189" s="58"/>
      <c r="N189" s="21" t="str">
        <f t="shared" si="197"/>
        <v/>
      </c>
      <c r="O189" s="21" t="str">
        <f t="shared" si="198"/>
        <v/>
      </c>
      <c r="Q189" s="25"/>
      <c r="R189" s="78">
        <v>0.41666666666666669</v>
      </c>
      <c r="S189" s="78">
        <v>0.41666666666666669</v>
      </c>
      <c r="T189" s="1" t="str">
        <f>IF(Start!$B$6="Ja","",IF(((S189-R189)*24)&gt;=5.5,"X",""))</f>
        <v/>
      </c>
      <c r="U189" s="1" t="str">
        <f t="shared" si="203"/>
        <v/>
      </c>
      <c r="V189" s="58"/>
      <c r="W189" s="21" t="str">
        <f t="shared" si="199"/>
        <v/>
      </c>
      <c r="X189" s="21" t="str">
        <f t="shared" si="200"/>
        <v/>
      </c>
      <c r="Z189" s="70" t="str">
        <f>IF(SUMIFS(TrackingTime!H:H,TrackingTime!F:F,Timer!B189,TrackingTime!C:C,"Hovedkontoret")&gt;0,SUMIFS(TrackingTime!H:H,TrackingTime!F:F,Timer!B189,TrackingTime!C:C,"Hovedkontoret"),"")</f>
        <v/>
      </c>
      <c r="AA189" s="71" t="str">
        <f t="shared" si="147"/>
        <v/>
      </c>
      <c r="AB189" t="str">
        <f>IF(SUMIFS(TrackingTime!H:H,TrackingTime!F:F,Timer!B189,TrackingTime!C:C,Start!$F$3)&gt;0,SUMIFS(TrackingTime!H:H,TrackingTime!F:F,Timer!B189,TrackingTime!C:C,Start!$F$3),"")</f>
        <v/>
      </c>
      <c r="AC189" s="71" t="str">
        <f t="shared" si="150"/>
        <v/>
      </c>
    </row>
    <row r="190" spans="1:29" x14ac:dyDescent="0.25">
      <c r="A190" s="15"/>
      <c r="B190" s="4" t="s">
        <v>11</v>
      </c>
      <c r="C190" s="24"/>
      <c r="D190" s="24"/>
      <c r="E190" s="24">
        <f t="shared" ca="1" si="173"/>
        <v>0</v>
      </c>
      <c r="F190" s="24" t="str">
        <f>IFERROR(IF(YEAR(B190)=Start!$B$1,MONTH(B190),""),"")</f>
        <v/>
      </c>
      <c r="G190" s="64" t="str">
        <f>IFERROR(VLOOKUP(B190,Start!A$111:B$273,2,FALSE),"")</f>
        <v/>
      </c>
      <c r="H190" s="4"/>
      <c r="I190" s="4"/>
      <c r="J190" s="4"/>
      <c r="K190" s="4"/>
      <c r="L190" s="5">
        <f t="shared" si="174"/>
        <v>0</v>
      </c>
      <c r="N190" s="24"/>
      <c r="O190" s="39">
        <f t="shared" ref="O190" si="204">SUM(O183:O189)</f>
        <v>0</v>
      </c>
      <c r="P190" s="40"/>
      <c r="Q190" s="41"/>
      <c r="R190" s="4"/>
      <c r="S190" s="4"/>
      <c r="T190" s="4"/>
      <c r="U190" s="5">
        <f t="shared" ref="U190" si="205">SUM($U183:$U189)</f>
        <v>0</v>
      </c>
      <c r="V190" s="58"/>
      <c r="W190" s="39"/>
      <c r="X190" s="39">
        <f t="shared" si="177"/>
        <v>0</v>
      </c>
      <c r="Z190" s="70" t="str">
        <f>IF(SUMIFS(TrackingTime!H:H,TrackingTime!F:F,Timer!B190,TrackingTime!C:C,"Hovedkontoret")&gt;0,SUMIFS(TrackingTime!H:H,TrackingTime!F:F,Timer!B190,TrackingTime!C:C,"Hovedkontoret"),"")</f>
        <v/>
      </c>
      <c r="AA190" s="71" t="str">
        <f t="shared" si="147"/>
        <v/>
      </c>
      <c r="AB190" t="str">
        <f>IF(SUMIFS(TrackingTime!H:H,TrackingTime!F:F,Timer!B190,TrackingTime!C:C,Start!$F$3)&gt;0,SUMIFS(TrackingTime!H:H,TrackingTime!F:F,Timer!B190,TrackingTime!C:C,Start!$F$3),"")</f>
        <v/>
      </c>
      <c r="AC190" s="71" t="str">
        <f t="shared" si="150"/>
        <v/>
      </c>
    </row>
    <row r="191" spans="1:29" x14ac:dyDescent="0.25">
      <c r="A191" s="15"/>
      <c r="B191" t="s">
        <v>90</v>
      </c>
      <c r="E191">
        <f t="shared" ca="1" si="173"/>
        <v>0</v>
      </c>
      <c r="F191" t="str">
        <f>IFERROR(IF(YEAR(B191)=Start!$B$1,MONTH(B191),""),"")</f>
        <v/>
      </c>
      <c r="G191" s="64" t="str">
        <f>IFERROR(VLOOKUP(B191,Start!A$111:B$273,2,FALSE),"")</f>
        <v/>
      </c>
      <c r="L191" s="1">
        <f t="shared" si="178"/>
        <v>0</v>
      </c>
      <c r="M191" s="1"/>
      <c r="N191" s="1"/>
      <c r="O191" s="21">
        <f t="shared" ref="O191" si="206">L191</f>
        <v>0</v>
      </c>
      <c r="P191" s="40"/>
      <c r="Q191" s="21"/>
      <c r="U191" s="1">
        <f t="shared" ref="U191" si="207">SUMIFS(D183:D189,F183:F189,"&gt;0")</f>
        <v>0</v>
      </c>
      <c r="V191" s="1"/>
      <c r="W191" s="1"/>
      <c r="X191" s="21">
        <f>U191</f>
        <v>0</v>
      </c>
      <c r="Z191" s="70" t="str">
        <f>IF(SUMIFS(TrackingTime!H:H,TrackingTime!F:F,Timer!B191,TrackingTime!C:C,"Hovedkontoret")&gt;0,SUMIFS(TrackingTime!H:H,TrackingTime!F:F,Timer!B191,TrackingTime!C:C,"Hovedkontoret"),"")</f>
        <v/>
      </c>
      <c r="AA191" s="71" t="str">
        <f t="shared" si="147"/>
        <v/>
      </c>
      <c r="AB191" t="str">
        <f>IF(SUMIFS(TrackingTime!H:H,TrackingTime!F:F,Timer!B191,TrackingTime!C:C,Start!$F$3)&gt;0,SUMIFS(TrackingTime!H:H,TrackingTime!F:F,Timer!B191,TrackingTime!C:C,Start!$F$3),"")</f>
        <v/>
      </c>
      <c r="AC191" s="71" t="str">
        <f t="shared" si="150"/>
        <v/>
      </c>
    </row>
    <row r="192" spans="1:29" x14ac:dyDescent="0.25">
      <c r="A192" s="16">
        <f>B189-B183-1</f>
        <v>5</v>
      </c>
      <c r="B192" t="s">
        <v>117</v>
      </c>
      <c r="E192">
        <f t="shared" ca="1" si="173"/>
        <v>0</v>
      </c>
      <c r="F192" t="str">
        <f>IFERROR(IF(YEAR(B192)=Start!$B$1,MONTH(B192),""),"")</f>
        <v/>
      </c>
      <c r="G192" s="64" t="str">
        <f>IFERROR(VLOOKUP(B192,Start!A$111:B$273,2,FALSE),"")</f>
        <v/>
      </c>
      <c r="L192" s="77">
        <f t="shared" ca="1" si="181"/>
        <v>0</v>
      </c>
      <c r="O192" s="21">
        <f t="shared" ref="O192" si="208">O190-O191</f>
        <v>0</v>
      </c>
      <c r="P192" s="21"/>
      <c r="Q192" s="21"/>
      <c r="U192" s="1">
        <f t="shared" ref="U192" ca="1" si="209">U190-U191*(IF(NETWORKDAYS($B183,TODAY())&lt;0,0,IF(NETWORKDAYS($B183,TODAY())&lt;=$A192,NETWORKDAYS($B183,TODAY()),$A192)))/$A192</f>
        <v>0</v>
      </c>
      <c r="V192" s="58"/>
      <c r="W192" s="21"/>
      <c r="X192" s="21">
        <f>X190-X191</f>
        <v>0</v>
      </c>
      <c r="Z192" s="70" t="str">
        <f>IF(SUMIFS(TrackingTime!H:H,TrackingTime!F:F,Timer!B192,TrackingTime!C:C,"Hovedkontoret")&gt;0,SUMIFS(TrackingTime!H:H,TrackingTime!F:F,Timer!B192,TrackingTime!C:C,"Hovedkontoret"),"")</f>
        <v/>
      </c>
      <c r="AA192" s="71" t="str">
        <f t="shared" si="147"/>
        <v/>
      </c>
      <c r="AB192" t="str">
        <f>IF(SUMIFS(TrackingTime!H:H,TrackingTime!F:F,Timer!B192,TrackingTime!C:C,Start!$F$3)&gt;0,SUMIFS(TrackingTime!H:H,TrackingTime!F:F,Timer!B192,TrackingTime!C:C,Start!$F$3),"")</f>
        <v/>
      </c>
      <c r="AC192" s="71" t="str">
        <f t="shared" si="150"/>
        <v/>
      </c>
    </row>
    <row r="193" spans="1:29" x14ac:dyDescent="0.25">
      <c r="A193" s="15"/>
      <c r="E193">
        <f t="shared" ca="1" si="173"/>
        <v>1</v>
      </c>
      <c r="F193" t="str">
        <f>IFERROR(IF(YEAR(B193)=Start!$B$1,MONTH(B193),""),"")</f>
        <v/>
      </c>
      <c r="G193" s="64" t="str">
        <f>IFERROR(VLOOKUP(B193,Start!A$111:B$273,2,FALSE),"")</f>
        <v/>
      </c>
      <c r="O193" s="2"/>
      <c r="P193" s="2"/>
      <c r="U193" s="1"/>
      <c r="V193" s="7"/>
      <c r="X193" s="2"/>
      <c r="Z193" s="70" t="str">
        <f>IF(SUMIFS(TrackingTime!H:H,TrackingTime!F:F,Timer!B193,TrackingTime!C:C,"Hovedkontoret")&gt;0,SUMIFS(TrackingTime!H:H,TrackingTime!F:F,Timer!B193,TrackingTime!C:C,"Hovedkontoret"),"")</f>
        <v/>
      </c>
      <c r="AA193" s="71" t="str">
        <f t="shared" si="147"/>
        <v/>
      </c>
      <c r="AB193" t="str">
        <f>IF(SUMIFS(TrackingTime!H:H,TrackingTime!F:F,Timer!B193,TrackingTime!C:C,Start!$F$3)&gt;0,SUMIFS(TrackingTime!H:H,TrackingTime!F:F,Timer!B193,TrackingTime!C:C,Start!$F$3),"")</f>
        <v/>
      </c>
      <c r="AC193" s="71" t="str">
        <f t="shared" si="150"/>
        <v/>
      </c>
    </row>
    <row r="194" spans="1:29" x14ac:dyDescent="0.25">
      <c r="A194" s="2" t="s">
        <v>82</v>
      </c>
      <c r="B194" s="14" t="s">
        <v>83</v>
      </c>
      <c r="E194">
        <f t="shared" ca="1" si="173"/>
        <v>0</v>
      </c>
      <c r="F194" t="str">
        <f>IFERROR(IF(YEAR(B194)=Start!$B$1,MONTH(B194),""),"")</f>
        <v/>
      </c>
      <c r="G194" s="64" t="str">
        <f>IFERROR(VLOOKUP(B194,Start!A$111:B$273,2,FALSE),"")</f>
        <v/>
      </c>
      <c r="H194" s="2" t="s">
        <v>86</v>
      </c>
      <c r="I194" s="2" t="s">
        <v>125</v>
      </c>
      <c r="J194" s="2" t="s">
        <v>126</v>
      </c>
      <c r="K194" s="2" t="s">
        <v>127</v>
      </c>
      <c r="L194" s="3" t="s">
        <v>87</v>
      </c>
      <c r="M194" s="6"/>
      <c r="N194" s="2" t="s">
        <v>88</v>
      </c>
      <c r="O194" s="2" t="s">
        <v>89</v>
      </c>
      <c r="P194" s="2"/>
      <c r="Q194" s="2" t="s">
        <v>86</v>
      </c>
      <c r="R194" s="2" t="s">
        <v>125</v>
      </c>
      <c r="S194" s="2" t="s">
        <v>126</v>
      </c>
      <c r="T194" s="2" t="s">
        <v>127</v>
      </c>
      <c r="U194" s="3" t="s">
        <v>87</v>
      </c>
      <c r="V194" s="6"/>
      <c r="W194" s="2" t="s">
        <v>88</v>
      </c>
      <c r="X194" s="2" t="s">
        <v>89</v>
      </c>
      <c r="Z194" s="70" t="str">
        <f>IF(SUMIFS(TrackingTime!H:H,TrackingTime!F:F,Timer!B194,TrackingTime!C:C,"Hovedkontoret")&gt;0,SUMIFS(TrackingTime!H:H,TrackingTime!F:F,Timer!B194,TrackingTime!C:C,"Hovedkontoret"),"")</f>
        <v/>
      </c>
      <c r="AA194" s="71" t="str">
        <f t="shared" si="147"/>
        <v/>
      </c>
      <c r="AB194" t="str">
        <f>IF(SUMIFS(TrackingTime!H:H,TrackingTime!F:F,Timer!B194,TrackingTime!C:C,Start!$F$3)&gt;0,SUMIFS(TrackingTime!H:H,TrackingTime!F:F,Timer!B194,TrackingTime!C:C,Start!$F$3),"")</f>
        <v/>
      </c>
      <c r="AC194" s="71" t="str">
        <f t="shared" si="150"/>
        <v/>
      </c>
    </row>
    <row r="195" spans="1:29" x14ac:dyDescent="0.25">
      <c r="A195" s="15">
        <f>WEEKNUM(B195,21)</f>
        <v>16</v>
      </c>
      <c r="B195" s="63">
        <f>B189+(DAY(1))</f>
        <v>46125</v>
      </c>
      <c r="C195" t="str">
        <f>IFERROR(IF(OR(L195="Fri",L195="Ferie",L195="Syk",L195="Omsorg",B195&lt;Start!$B$7),0,IF(IFERROR(MATCH(B195,Start!A$253:A$273,0),0)&gt;0,VLOOKUP(B195,Start!A$253:F$273,3,FALSE)/100*Start!$B$4,VLOOKUP(WEEKDAY(B195,2),Start!A$240:F$246,4,FALSE))),"")</f>
        <v/>
      </c>
      <c r="D195" t="str">
        <f>IFERROR(IF(OR(U195="Fri",U195="Ferie",U195="Syk",U195="Omsorg",B195&lt;Start!$F$7),0,IF(IFERROR(MATCH(B195,Start!A$253:A$273,0),0)&gt;0,VLOOKUP(B195,Start!A$253:F$273,3,FALSE)/100*Start!$F$4,VLOOKUP(WEEKDAY(B195,2),Start!A$240:F$246,6,FALSE))),"")</f>
        <v/>
      </c>
      <c r="E195">
        <f t="shared" ca="1" si="173"/>
        <v>0</v>
      </c>
      <c r="F195">
        <f>IFERROR(IF(YEAR(B195)=Start!$B$1,MONTH(B195),""),"")</f>
        <v>4</v>
      </c>
      <c r="G195" s="64" t="str">
        <f>IFERROR(VLOOKUP(B195,Start!A$111:B$273,2,FALSE),"")</f>
        <v/>
      </c>
      <c r="H195" s="21"/>
      <c r="I195" s="78">
        <v>0.33333333333333331</v>
      </c>
      <c r="J195" s="78">
        <v>0.33333333333333331</v>
      </c>
      <c r="K195" s="1" t="str">
        <f>IF(Start!$B$6="Ja","",IF(((J195-I195)*24)&gt;=5.5,"X",""))</f>
        <v/>
      </c>
      <c r="L195" s="1" t="str">
        <f>IF(_xlfn.IFNA(MATCH($A195,Start!$H$3:$H$11,0),0)&gt;0,"Ferie",IFERROR(IF(VLOOKUP(B195,Start!A$165:B$234,2,FALSE)&gt;0,"Fri",0),IF(AND((J195-I195)=0,Z195=""),"",MAX((IF(K195="X",(J195-I195)*24-0.5,(J195-I195)*24)),Z195))))</f>
        <v/>
      </c>
      <c r="M195" s="58"/>
      <c r="N195" s="21" t="str">
        <f t="shared" ref="N195:N201" si="210">IF(H195=0,"",H195)</f>
        <v/>
      </c>
      <c r="O195" s="21" t="str">
        <f t="shared" ref="O195:O201" si="211">IF(L195=0,"",L195)</f>
        <v/>
      </c>
      <c r="P195" s="2"/>
      <c r="Q195" s="21"/>
      <c r="R195" s="78">
        <v>0.33333333333333331</v>
      </c>
      <c r="S195" s="78">
        <v>0.33333333333333331</v>
      </c>
      <c r="T195" s="1" t="str">
        <f>IF(Start!$B$6="Ja","",IF(((S195-R195)*24)&gt;=5.5,"X",""))</f>
        <v/>
      </c>
      <c r="U195" s="1" t="str">
        <f>IF(_xlfn.IFNA(MATCH($A$15,Start!$H$3:$H$11,0),0)&gt;0,"Ferie",(IF(L195="fri","Fri",(IF(L195="syk","Syk",IF(L195="Ferie","Ferie",IF(AND((S195-R195)=0,AB195=""),"",MAX((IF(T195="X",(S195-R195)*24-0.5,(S195-R195)*24)),AB195))))))))</f>
        <v/>
      </c>
      <c r="V195" s="58"/>
      <c r="W195" s="21" t="str">
        <f t="shared" ref="W195:W201" si="212">IF(Q195=0,"",Q195)</f>
        <v/>
      </c>
      <c r="X195" s="21" t="str">
        <f t="shared" ref="X195:X201" si="213">IF(U195=0,"",U195)</f>
        <v/>
      </c>
      <c r="Z195" s="70" t="str">
        <f>IF(SUMIFS(TrackingTime!H:H,TrackingTime!F:F,Timer!B195,TrackingTime!C:C,"Hovedkontoret")&gt;0,SUMIFS(TrackingTime!H:H,TrackingTime!F:F,Timer!B195,TrackingTime!C:C,"Hovedkontoret"),"")</f>
        <v/>
      </c>
      <c r="AA195" s="71" t="str">
        <f t="shared" si="147"/>
        <v/>
      </c>
      <c r="AB195" t="str">
        <f>IF(SUMIFS(TrackingTime!H:H,TrackingTime!F:F,Timer!B195,TrackingTime!C:C,Start!$F$3)&gt;0,SUMIFS(TrackingTime!H:H,TrackingTime!F:F,Timer!B195,TrackingTime!C:C,Start!$F$3),"")</f>
        <v/>
      </c>
      <c r="AC195" s="71" t="str">
        <f t="shared" si="150"/>
        <v/>
      </c>
    </row>
    <row r="196" spans="1:29" x14ac:dyDescent="0.25">
      <c r="A196" s="15"/>
      <c r="B196" s="63">
        <f t="shared" ref="B196:B201" si="214">B195+DAY(1)</f>
        <v>46126</v>
      </c>
      <c r="C196" t="str">
        <f>IFERROR(IF(OR(L196="Fri",L196="Ferie",L196="Syk",L196="Omsorg",B196&lt;Start!$B$7),0,IF(IFERROR(MATCH(B196,Start!A$253:A$273,0),0)&gt;0,VLOOKUP(B196,Start!A$253:F$273,3,FALSE)/100*Start!$B$4,VLOOKUP(WEEKDAY(B196,2),Start!A$240:F$246,4,FALSE))),"")</f>
        <v/>
      </c>
      <c r="D196" t="str">
        <f>IFERROR(IF(OR(U196="Fri",U196="Ferie",U196="Syk",U196="Omsorg",B196&lt;Start!$F$7),0,IF(IFERROR(MATCH(B196,Start!A$253:A$273,0),0)&gt;0,VLOOKUP(B196,Start!A$253:F$273,3,FALSE)/100*Start!$F$4,VLOOKUP(WEEKDAY(B196,2),Start!A$240:F$246,6,FALSE))),"")</f>
        <v/>
      </c>
      <c r="E196">
        <f t="shared" ca="1" si="173"/>
        <v>0</v>
      </c>
      <c r="F196">
        <f>IFERROR(IF(YEAR(B196)=Start!$B$1,MONTH(B196),""),"")</f>
        <v>4</v>
      </c>
      <c r="G196" s="64" t="str">
        <f>IFERROR(VLOOKUP(B196,Start!A$111:B$273,2,FALSE),"")</f>
        <v/>
      </c>
      <c r="H196" s="21"/>
      <c r="I196" s="78">
        <v>0.33333333333333331</v>
      </c>
      <c r="J196" s="78">
        <v>0.33333333333333331</v>
      </c>
      <c r="K196" s="1" t="str">
        <f>IF(Start!$B$6="Ja","",IF(((J196-I196)*24)&gt;=5.5,"X",""))</f>
        <v/>
      </c>
      <c r="L196" s="1" t="str">
        <f>IF(_xlfn.IFNA(MATCH($A195,Start!$H$3:$H$11,0),0)&gt;0,"Ferie",IFERROR(IF(VLOOKUP($B196,Start!$A$165:$B$234,2,FALSE)&gt;0,"Fri",0),IF(AND((J196-I196)=0,Z196=""),"",MAX((IF(K196="X",(J196-I196)*24-0.5,(J196-I196)*24)),Z196))))</f>
        <v/>
      </c>
      <c r="M196" s="58"/>
      <c r="N196" s="21" t="str">
        <f t="shared" si="210"/>
        <v/>
      </c>
      <c r="O196" s="21" t="str">
        <f t="shared" si="211"/>
        <v/>
      </c>
      <c r="P196" s="2"/>
      <c r="Q196" s="21"/>
      <c r="R196" s="78">
        <v>0.33333333333333331</v>
      </c>
      <c r="S196" s="78">
        <v>0.33333333333333331</v>
      </c>
      <c r="T196" s="1" t="str">
        <f>IF(Start!$B$6="Ja","",IF(((S196-R196)*24)&gt;=5.5,"X",""))</f>
        <v/>
      </c>
      <c r="U196" s="1" t="str">
        <f>IF(_xlfn.IFNA(MATCH($A$15,Start!$H$3:$H$11,0),0)&gt;0,"Ferie",(IF(L196="fri","Fri",(IF(L196="syk","Syk",IF(L196="Ferie","Ferie",IF(AND((S196-R196)=0,AB196=""),"",MAX((IF(T196="X",(S196-R196)*24-0.5,(S196-R196)*24)),AB196))))))))</f>
        <v/>
      </c>
      <c r="V196" s="58"/>
      <c r="W196" s="21" t="str">
        <f t="shared" si="212"/>
        <v/>
      </c>
      <c r="X196" s="21" t="str">
        <f t="shared" si="213"/>
        <v/>
      </c>
      <c r="Z196" s="70" t="str">
        <f>IF(SUMIFS(TrackingTime!H:H,TrackingTime!F:F,Timer!B196,TrackingTime!C:C,"Hovedkontoret")&gt;0,SUMIFS(TrackingTime!H:H,TrackingTime!F:F,Timer!B196,TrackingTime!C:C,"Hovedkontoret"),"")</f>
        <v/>
      </c>
      <c r="AA196" s="71" t="str">
        <f t="shared" si="147"/>
        <v/>
      </c>
      <c r="AB196" t="str">
        <f>IF(SUMIFS(TrackingTime!H:H,TrackingTime!F:F,Timer!B196,TrackingTime!C:C,Start!$F$3)&gt;0,SUMIFS(TrackingTime!H:H,TrackingTime!F:F,Timer!B196,TrackingTime!C:C,Start!$F$3),"")</f>
        <v/>
      </c>
      <c r="AC196" s="71" t="str">
        <f t="shared" si="150"/>
        <v/>
      </c>
    </row>
    <row r="197" spans="1:29" x14ac:dyDescent="0.25">
      <c r="A197" s="15"/>
      <c r="B197" s="63">
        <f t="shared" si="214"/>
        <v>46127</v>
      </c>
      <c r="C197" t="str">
        <f>IFERROR(IF(OR(L197="Fri",L197="Ferie",L197="Syk",L197="Omsorg",B197&lt;Start!$B$7),0,IF(IFERROR(MATCH(B197,Start!A$253:A$273,0),0)&gt;0,VLOOKUP(B197,Start!A$253:F$273,3,FALSE)/100*Start!$B$4,VLOOKUP(WEEKDAY(B197,2),Start!A$240:F$246,4,FALSE))),"")</f>
        <v/>
      </c>
      <c r="D197" t="str">
        <f>IFERROR(IF(OR(U197="Fri",U197="Ferie",U197="Syk",U197="Omsorg",B197&lt;Start!$F$7),0,IF(IFERROR(MATCH(B197,Start!A$253:A$273,0),0)&gt;0,VLOOKUP(B197,Start!A$253:F$273,3,FALSE)/100*Start!$F$4,VLOOKUP(WEEKDAY(B197,2),Start!A$240:F$246,6,FALSE))),"")</f>
        <v/>
      </c>
      <c r="E197">
        <f t="shared" ca="1" si="173"/>
        <v>0</v>
      </c>
      <c r="F197">
        <f>IFERROR(IF(YEAR(B197)=Start!$B$1,MONTH(B197),""),"")</f>
        <v>4</v>
      </c>
      <c r="G197" s="64" t="str">
        <f>IFERROR(VLOOKUP(B197,Start!A$111:B$273,2,FALSE),"")</f>
        <v/>
      </c>
      <c r="H197" s="21"/>
      <c r="I197" s="78">
        <v>0.33333333333333331</v>
      </c>
      <c r="J197" s="78">
        <v>0.33333333333333331</v>
      </c>
      <c r="K197" s="1" t="str">
        <f>IF(Start!$B$6="Ja","",IF(((J197-I197)*24)&gt;=5.5,"X",""))</f>
        <v/>
      </c>
      <c r="L197" s="1" t="str">
        <f>IF(_xlfn.IFNA(MATCH($A195,Start!$H$3:$H$11,0),0)&gt;0,"Ferie",IFERROR(IF(VLOOKUP(B197,Start!A$165:B$234,2,FALSE)&gt;0,"Fri",0),IF(AND((J197-I197)=0,Z197=""),"",MAX((IF(K197="X",(J197-I197)*24-0.5,(J197-I197)*24)),Z197))))</f>
        <v/>
      </c>
      <c r="M197" s="58"/>
      <c r="N197" s="21" t="str">
        <f t="shared" si="210"/>
        <v/>
      </c>
      <c r="O197" s="21" t="str">
        <f t="shared" si="211"/>
        <v/>
      </c>
      <c r="P197" s="2"/>
      <c r="Q197" s="21"/>
      <c r="R197" s="78">
        <v>0.33333333333333331</v>
      </c>
      <c r="S197" s="78">
        <v>0.33333333333333331</v>
      </c>
      <c r="T197" s="1" t="str">
        <f>IF(Start!$B$6="Ja","",IF(((S197-R197)*24)&gt;=5.5,"X",""))</f>
        <v/>
      </c>
      <c r="U197" s="1" t="str">
        <f>IF(_xlfn.IFNA(MATCH($A$15,Start!$H$3:$H$11,0),0)&gt;0,"Ferie",(IF(L197="fri","Fri",(IF(L197="syk","Syk",IF(L197="Ferie","Ferie",IF(AND((S197-R197)=0,AB197=""),"",MAX((IF(T197="X",(S197-R197)*24-0.5,(S197-R197)*24)),AB197))))))))</f>
        <v/>
      </c>
      <c r="V197" s="58"/>
      <c r="W197" s="21" t="str">
        <f t="shared" si="212"/>
        <v/>
      </c>
      <c r="X197" s="21" t="str">
        <f t="shared" si="213"/>
        <v/>
      </c>
      <c r="Z197" s="70" t="str">
        <f>IF(SUMIFS(TrackingTime!H:H,TrackingTime!F:F,Timer!B197,TrackingTime!C:C,"Hovedkontoret")&gt;0,SUMIFS(TrackingTime!H:H,TrackingTime!F:F,Timer!B197,TrackingTime!C:C,"Hovedkontoret"),"")</f>
        <v/>
      </c>
      <c r="AA197" s="71" t="str">
        <f t="shared" si="147"/>
        <v/>
      </c>
      <c r="AB197" t="str">
        <f>IF(SUMIFS(TrackingTime!H:H,TrackingTime!F:F,Timer!B197,TrackingTime!C:C,Start!$F$3)&gt;0,SUMIFS(TrackingTime!H:H,TrackingTime!F:F,Timer!B197,TrackingTime!C:C,Start!$F$3),"")</f>
        <v/>
      </c>
      <c r="AC197" s="71" t="str">
        <f t="shared" si="150"/>
        <v/>
      </c>
    </row>
    <row r="198" spans="1:29" x14ac:dyDescent="0.25">
      <c r="A198" s="15"/>
      <c r="B198" s="63">
        <f t="shared" si="214"/>
        <v>46128</v>
      </c>
      <c r="C198" t="str">
        <f>IFERROR(IF(OR(L198="Fri",L198="Ferie",L198="Syk",L198="Omsorg",B198&lt;Start!$B$7),0,IF(IFERROR(MATCH(B198,Start!A$253:A$273,0),0)&gt;0,VLOOKUP(B198,Start!A$253:F$273,3,FALSE)/100*Start!$B$4,VLOOKUP(WEEKDAY(B198,2),Start!A$240:F$246,4,FALSE))),"")</f>
        <v/>
      </c>
      <c r="D198" t="str">
        <f>IFERROR(IF(OR(U198="Fri",U198="Ferie",U198="Syk",U198="Omsorg",B198&lt;Start!$F$7),0,IF(IFERROR(MATCH(B198,Start!A$253:A$273,0),0)&gt;0,VLOOKUP(B198,Start!A$253:F$273,3,FALSE)/100*Start!$F$4,VLOOKUP(WEEKDAY(B198,2),Start!A$240:F$246,6,FALSE))),"")</f>
        <v/>
      </c>
      <c r="E198">
        <f t="shared" ca="1" si="173"/>
        <v>0</v>
      </c>
      <c r="F198">
        <f>IFERROR(IF(YEAR(B198)=Start!$B$1,MONTH(B198),""),"")</f>
        <v>4</v>
      </c>
      <c r="G198" s="64" t="str">
        <f>IFERROR(VLOOKUP(B198,Start!A$111:B$273,2,FALSE),"")</f>
        <v/>
      </c>
      <c r="H198" s="21"/>
      <c r="I198" s="78">
        <v>0.33333333333333331</v>
      </c>
      <c r="J198" s="78">
        <v>0.33333333333333331</v>
      </c>
      <c r="K198" s="1" t="str">
        <f>IF(Start!$B$6="Ja","",IF(((J198-I198)*24)&gt;=5.5,"X",""))</f>
        <v/>
      </c>
      <c r="L198" s="1" t="str">
        <f>IF(_xlfn.IFNA(MATCH($A195,Start!$H$3:$H$11,0),0)&gt;0,"Ferie",IFERROR(IF(VLOOKUP(B198,Start!A$165:B$234,2,FALSE)&gt;0,"Fri",0),IF(AND((J198-I198)=0,Z198=""),"",MAX((IF(K198="X",(J198-I198)*24-0.5,(J198-I198)*24)),Z198))))</f>
        <v/>
      </c>
      <c r="M198" s="58"/>
      <c r="N198" s="21" t="str">
        <f t="shared" si="210"/>
        <v/>
      </c>
      <c r="O198" s="21" t="str">
        <f t="shared" si="211"/>
        <v/>
      </c>
      <c r="P198" s="2"/>
      <c r="Q198" s="21"/>
      <c r="R198" s="78">
        <v>0.33333333333333331</v>
      </c>
      <c r="S198" s="78">
        <v>0.33333333333333331</v>
      </c>
      <c r="T198" s="1" t="str">
        <f>IF(Start!$B$6="Ja","",IF(((S198-R198)*24)&gt;=5.5,"X",""))</f>
        <v/>
      </c>
      <c r="U198" s="1" t="str">
        <f>IF(_xlfn.IFNA(MATCH($A$15,Start!$H$3:$H$11,0),0)&gt;0,"Ferie",(IF(L198="fri","Fri",(IF(L198="syk","Syk",IF(L198="Ferie","Ferie",IF(AND((S198-R198)=0,AB198=""),"",MAX((IF(T198="X",(S198-R198)*24-0.5,(S198-R198)*24)),AB198))))))))</f>
        <v/>
      </c>
      <c r="V198" s="58"/>
      <c r="W198" s="21" t="str">
        <f t="shared" si="212"/>
        <v/>
      </c>
      <c r="X198" s="21" t="str">
        <f t="shared" si="213"/>
        <v/>
      </c>
      <c r="Z198" s="70" t="str">
        <f>IF(SUMIFS(TrackingTime!H:H,TrackingTime!F:F,Timer!B198,TrackingTime!C:C,"Hovedkontoret")&gt;0,SUMIFS(TrackingTime!H:H,TrackingTime!F:F,Timer!B198,TrackingTime!C:C,"Hovedkontoret"),"")</f>
        <v/>
      </c>
      <c r="AA198" s="71" t="str">
        <f t="shared" si="147"/>
        <v/>
      </c>
      <c r="AB198" t="str">
        <f>IF(SUMIFS(TrackingTime!H:H,TrackingTime!F:F,Timer!B198,TrackingTime!C:C,Start!$F$3)&gt;0,SUMIFS(TrackingTime!H:H,TrackingTime!F:F,Timer!B198,TrackingTime!C:C,Start!$F$3),"")</f>
        <v/>
      </c>
      <c r="AC198" s="71" t="str">
        <f t="shared" si="150"/>
        <v/>
      </c>
    </row>
    <row r="199" spans="1:29" x14ac:dyDescent="0.25">
      <c r="A199" s="15"/>
      <c r="B199" s="63">
        <f t="shared" si="214"/>
        <v>46129</v>
      </c>
      <c r="C199" t="str">
        <f>IFERROR(IF(OR(L199="Fri",L199="Ferie",L199="Syk",L199="Omsorg",B199&lt;Start!$B$7),0,IF(IFERROR(MATCH(B199,Start!A$253:A$273,0),0)&gt;0,VLOOKUP(B199,Start!A$253:F$273,3,FALSE)/100*Start!$B$4,VLOOKUP(WEEKDAY(B199,2),Start!A$240:F$246,4,FALSE))),"")</f>
        <v/>
      </c>
      <c r="D199" t="str">
        <f>IFERROR(IF(OR(U199="Fri",U199="Ferie",U199="Syk",U199="Omsorg",B199&lt;Start!$F$7),0,IF(IFERROR(MATCH(B199,Start!A$253:A$273,0),0)&gt;0,VLOOKUP(B199,Start!A$253:F$273,3,FALSE)/100*Start!$F$4,VLOOKUP(WEEKDAY(B199,2),Start!A$240:F$246,6,FALSE))),"")</f>
        <v/>
      </c>
      <c r="E199">
        <f t="shared" ca="1" si="173"/>
        <v>0</v>
      </c>
      <c r="F199">
        <f>IFERROR(IF(YEAR(B199)=Start!$B$1,MONTH(B199),""),"")</f>
        <v>4</v>
      </c>
      <c r="G199" s="64" t="str">
        <f>IFERROR(VLOOKUP(B199,Start!A$111:B$273,2,FALSE),"")</f>
        <v/>
      </c>
      <c r="H199" s="21"/>
      <c r="I199" s="78">
        <v>0.33333333333333331</v>
      </c>
      <c r="J199" s="78">
        <v>0.33333333333333331</v>
      </c>
      <c r="K199" s="1" t="str">
        <f>IF(Start!$B$6="Ja","",IF(((J199-I199)*24)&gt;=5.5,"X",""))</f>
        <v/>
      </c>
      <c r="L199" s="1" t="str">
        <f>IF(_xlfn.IFNA(MATCH($A195,Start!$H$3:$H$11,0),0)&gt;0,"Ferie",IFERROR(IF(VLOOKUP(B199,Start!A$165:B$234,2,FALSE)&gt;0,"Fri",0),IF(AND((J199-I199)=0,Z199=""),"",MAX((IF(K199="X",(J199-I199)*24-0.5,(J199-I199)*24)),Z199))))</f>
        <v/>
      </c>
      <c r="M199" s="58"/>
      <c r="N199" s="21" t="str">
        <f t="shared" si="210"/>
        <v/>
      </c>
      <c r="O199" s="21" t="str">
        <f t="shared" si="211"/>
        <v/>
      </c>
      <c r="P199" s="2"/>
      <c r="Q199" s="21"/>
      <c r="R199" s="78">
        <v>0.33333333333333331</v>
      </c>
      <c r="S199" s="78">
        <v>0.33333333333333331</v>
      </c>
      <c r="T199" s="1" t="str">
        <f>IF(Start!$B$6="Ja","",IF(((S199-R199)*24)&gt;=5.5,"X",""))</f>
        <v/>
      </c>
      <c r="U199" s="1" t="str">
        <f>IF(_xlfn.IFNA(MATCH($A$15,Start!$H$3:$H$11,0),0)&gt;0,"Ferie",(IF(L199="fri","Fri",(IF(L199="syk","Syk",IF(L199="Ferie","Ferie",IF(AND((S199-R199)=0,AB199=""),"",MAX((IF(T199="X",(S199-R199)*24-0.5,(S199-R199)*24)),AB199))))))))</f>
        <v/>
      </c>
      <c r="V199" s="58"/>
      <c r="W199" s="21" t="str">
        <f t="shared" si="212"/>
        <v/>
      </c>
      <c r="X199" s="21" t="str">
        <f t="shared" si="213"/>
        <v/>
      </c>
      <c r="Z199" s="70" t="str">
        <f>IF(SUMIFS(TrackingTime!H:H,TrackingTime!F:F,Timer!B199,TrackingTime!C:C,"Hovedkontoret")&gt;0,SUMIFS(TrackingTime!H:H,TrackingTime!F:F,Timer!B199,TrackingTime!C:C,"Hovedkontoret"),"")</f>
        <v/>
      </c>
      <c r="AA199" s="71" t="str">
        <f t="shared" si="147"/>
        <v/>
      </c>
      <c r="AB199" t="str">
        <f>IF(SUMIFS(TrackingTime!H:H,TrackingTime!F:F,Timer!B199,TrackingTime!C:C,Start!$F$3)&gt;0,SUMIFS(TrackingTime!H:H,TrackingTime!F:F,Timer!B199,TrackingTime!C:C,Start!$F$3),"")</f>
        <v/>
      </c>
      <c r="AC199" s="71" t="str">
        <f t="shared" si="150"/>
        <v/>
      </c>
    </row>
    <row r="200" spans="1:29" x14ac:dyDescent="0.25">
      <c r="A200" s="15"/>
      <c r="B200" s="63">
        <f t="shared" si="214"/>
        <v>46130</v>
      </c>
      <c r="C200">
        <f>IFERROR(IF(OR(L200="Fri",L200="Ferie",L200="Syk",L200="Omsorg",B200&lt;Start!$B$7),0,IF(IFERROR(MATCH(B200,Start!A$253:A$273,0),0)&gt;0,VLOOKUP(B200,Start!A$253:F$273,3,FALSE)/100*Start!$B$4,VLOOKUP(WEEKDAY(B200,2),Start!A$240:F$246,4,FALSE))),"")</f>
        <v>0</v>
      </c>
      <c r="D200">
        <f>IFERROR(IF(OR(U200="Fri",U200="Ferie",U200="Syk",U200="Omsorg",B200&lt;Start!$F$7),0,IF(IFERROR(MATCH(B200,Start!A$253:A$273,0),0)&gt;0,VLOOKUP(B200,Start!A$253:F$273,3,FALSE)/100*Start!$F$4,VLOOKUP(WEEKDAY(B200,2),Start!A$240:F$246,6,FALSE))),"")</f>
        <v>0</v>
      </c>
      <c r="E200">
        <f t="shared" ca="1" si="173"/>
        <v>0</v>
      </c>
      <c r="F200">
        <f>IFERROR(IF(YEAR(B200)=Start!$B$1,MONTH(B200),""),"")</f>
        <v>4</v>
      </c>
      <c r="G200" s="64" t="str">
        <f>IFERROR(VLOOKUP(B200,Start!A$111:B$273,2,FALSE),"")</f>
        <v/>
      </c>
      <c r="H200" s="21"/>
      <c r="I200" s="78">
        <v>0.41666666666666669</v>
      </c>
      <c r="J200" s="78">
        <v>0.41666666666666669</v>
      </c>
      <c r="K200" s="1" t="str">
        <f>IF(Start!$B$6="Ja","",IF(((J200-I200)*24)&gt;=5.5,"X",""))</f>
        <v/>
      </c>
      <c r="L200" s="1" t="str">
        <f t="shared" ref="L200:L201" si="215">IF(AND((J200-I200)=0,Z200=""),"",MAX((IF(K200="X",(J200-I200)*24-0.5,(J200-I200)*24)),Z200))</f>
        <v/>
      </c>
      <c r="M200" s="58"/>
      <c r="N200" s="21" t="str">
        <f t="shared" si="210"/>
        <v/>
      </c>
      <c r="O200" s="21" t="str">
        <f t="shared" si="211"/>
        <v/>
      </c>
      <c r="P200" s="2"/>
      <c r="Q200" s="21"/>
      <c r="R200" s="78">
        <v>0.41666666666666669</v>
      </c>
      <c r="S200" s="78">
        <v>0.41666666666666669</v>
      </c>
      <c r="T200" s="1" t="str">
        <f>IF(Start!$B$6="Ja","",IF(((S200-R200)*24)&gt;=5.5,"X",""))</f>
        <v/>
      </c>
      <c r="U200" s="1" t="str">
        <f t="shared" ref="U200:U201" si="216">IF(AND((S200-R200)=0,AB200=""),"",MAX((IF(T200="X",(S200-R200)*24-0.5,(S200-R200)*24)),AB200))</f>
        <v/>
      </c>
      <c r="V200" s="58"/>
      <c r="W200" s="21" t="str">
        <f t="shared" si="212"/>
        <v/>
      </c>
      <c r="X200" s="21" t="str">
        <f t="shared" si="213"/>
        <v/>
      </c>
      <c r="Z200" s="70" t="str">
        <f>IF(SUMIFS(TrackingTime!H:H,TrackingTime!F:F,Timer!B200,TrackingTime!C:C,"Hovedkontoret")&gt;0,SUMIFS(TrackingTime!H:H,TrackingTime!F:F,Timer!B200,TrackingTime!C:C,"Hovedkontoret"),"")</f>
        <v/>
      </c>
      <c r="AA200" s="71" t="str">
        <f t="shared" si="147"/>
        <v/>
      </c>
      <c r="AB200" t="str">
        <f>IF(SUMIFS(TrackingTime!H:H,TrackingTime!F:F,Timer!B200,TrackingTime!C:C,Start!$F$3)&gt;0,SUMIFS(TrackingTime!H:H,TrackingTime!F:F,Timer!B200,TrackingTime!C:C,Start!$F$3),"")</f>
        <v/>
      </c>
      <c r="AC200" s="71" t="str">
        <f t="shared" si="150"/>
        <v/>
      </c>
    </row>
    <row r="201" spans="1:29" x14ac:dyDescent="0.25">
      <c r="A201" s="15"/>
      <c r="B201" s="63">
        <f t="shared" si="214"/>
        <v>46131</v>
      </c>
      <c r="C201">
        <f>IFERROR(IF(OR(L201="Fri",L201="Ferie",L201="Syk",L201="Omsorg",B201&lt;Start!$B$7),0,IF(IFERROR(MATCH(B201,Start!A$253:A$273,0),0)&gt;0,VLOOKUP(B201,Start!A$253:F$273,3,FALSE)/100*Start!$B$4,VLOOKUP(WEEKDAY(B201,2),Start!A$240:F$246,4,FALSE))),"")</f>
        <v>0</v>
      </c>
      <c r="D201">
        <f>IFERROR(IF(OR(U201="Fri",U201="Ferie",U201="Syk",U201="Omsorg",B201&lt;Start!$F$7),0,IF(IFERROR(MATCH(B201,Start!A$253:A$273,0),0)&gt;0,VLOOKUP(B201,Start!A$253:F$273,3,FALSE)/100*Start!$F$4,VLOOKUP(WEEKDAY(B201,2),Start!A$240:F$246,6,FALSE))),"")</f>
        <v>0</v>
      </c>
      <c r="E201">
        <f t="shared" ca="1" si="173"/>
        <v>0</v>
      </c>
      <c r="F201">
        <f>IFERROR(IF(YEAR(B201)=Start!$B$1,MONTH(B201),""),"")</f>
        <v>4</v>
      </c>
      <c r="G201" s="64" t="str">
        <f>IFERROR(VLOOKUP(B201,Start!A$111:B$273,2,FALSE),"")</f>
        <v/>
      </c>
      <c r="H201" s="25"/>
      <c r="I201" s="78">
        <v>0.41666666666666669</v>
      </c>
      <c r="J201" s="78">
        <v>0.41666666666666669</v>
      </c>
      <c r="K201" s="1" t="str">
        <f>IF(Start!$B$6="Ja","",IF(((J201-I201)*24)&gt;=5.5,"X",""))</f>
        <v/>
      </c>
      <c r="L201" s="1" t="str">
        <f t="shared" si="215"/>
        <v/>
      </c>
      <c r="M201" s="58"/>
      <c r="N201" s="21" t="str">
        <f t="shared" si="210"/>
        <v/>
      </c>
      <c r="O201" s="21" t="str">
        <f t="shared" si="211"/>
        <v/>
      </c>
      <c r="Q201" s="25"/>
      <c r="R201" s="78">
        <v>0.41666666666666669</v>
      </c>
      <c r="S201" s="78">
        <v>0.41666666666666669</v>
      </c>
      <c r="T201" s="1" t="str">
        <f>IF(Start!$B$6="Ja","",IF(((S201-R201)*24)&gt;=5.5,"X",""))</f>
        <v/>
      </c>
      <c r="U201" s="1" t="str">
        <f t="shared" si="216"/>
        <v/>
      </c>
      <c r="V201" s="58"/>
      <c r="W201" s="21" t="str">
        <f t="shared" si="212"/>
        <v/>
      </c>
      <c r="X201" s="21" t="str">
        <f t="shared" si="213"/>
        <v/>
      </c>
      <c r="Z201" s="70" t="str">
        <f>IF(SUMIFS(TrackingTime!H:H,TrackingTime!F:F,Timer!B201,TrackingTime!C:C,"Hovedkontoret")&gt;0,SUMIFS(TrackingTime!H:H,TrackingTime!F:F,Timer!B201,TrackingTime!C:C,"Hovedkontoret"),"")</f>
        <v/>
      </c>
      <c r="AA201" s="71" t="str">
        <f t="shared" si="147"/>
        <v/>
      </c>
      <c r="AB201" t="str">
        <f>IF(SUMIFS(TrackingTime!H:H,TrackingTime!F:F,Timer!B201,TrackingTime!C:C,Start!$F$3)&gt;0,SUMIFS(TrackingTime!H:H,TrackingTime!F:F,Timer!B201,TrackingTime!C:C,Start!$F$3),"")</f>
        <v/>
      </c>
      <c r="AC201" s="71" t="str">
        <f t="shared" si="150"/>
        <v/>
      </c>
    </row>
    <row r="202" spans="1:29" x14ac:dyDescent="0.25">
      <c r="A202" s="15"/>
      <c r="B202" s="4" t="s">
        <v>11</v>
      </c>
      <c r="C202" s="24"/>
      <c r="D202" s="24"/>
      <c r="E202" s="24">
        <f t="shared" ca="1" si="173"/>
        <v>0</v>
      </c>
      <c r="F202" s="24" t="str">
        <f>IFERROR(IF(YEAR(B202)=Start!$B$1,MONTH(B202),""),"")</f>
        <v/>
      </c>
      <c r="G202" s="64" t="str">
        <f>IFERROR(VLOOKUP(B202,Start!A$111:B$273,2,FALSE),"")</f>
        <v/>
      </c>
      <c r="H202" s="4"/>
      <c r="I202" s="4"/>
      <c r="J202" s="4"/>
      <c r="K202" s="4"/>
      <c r="L202" s="5">
        <f t="shared" si="174"/>
        <v>0</v>
      </c>
      <c r="N202" s="24"/>
      <c r="O202" s="39">
        <f t="shared" ref="O202" si="217">SUM(O195:O201)</f>
        <v>0</v>
      </c>
      <c r="P202" s="40"/>
      <c r="Q202" s="41"/>
      <c r="R202" s="4"/>
      <c r="S202" s="4"/>
      <c r="T202" s="4"/>
      <c r="U202" s="5">
        <f t="shared" ref="U202" si="218">SUM($U195:$U201)</f>
        <v>0</v>
      </c>
      <c r="V202" s="58"/>
      <c r="W202" s="39"/>
      <c r="X202" s="39">
        <f t="shared" si="177"/>
        <v>0</v>
      </c>
      <c r="Z202" s="70" t="str">
        <f>IF(SUMIFS(TrackingTime!H:H,TrackingTime!F:F,Timer!B202,TrackingTime!C:C,"Hovedkontoret")&gt;0,SUMIFS(TrackingTime!H:H,TrackingTime!F:F,Timer!B202,TrackingTime!C:C,"Hovedkontoret"),"")</f>
        <v/>
      </c>
      <c r="AA202" s="71" t="str">
        <f t="shared" si="147"/>
        <v/>
      </c>
      <c r="AB202" t="str">
        <f>IF(SUMIFS(TrackingTime!H:H,TrackingTime!F:F,Timer!B202,TrackingTime!C:C,Start!$F$3)&gt;0,SUMIFS(TrackingTime!H:H,TrackingTime!F:F,Timer!B202,TrackingTime!C:C,Start!$F$3),"")</f>
        <v/>
      </c>
      <c r="AC202" s="71" t="str">
        <f t="shared" si="150"/>
        <v/>
      </c>
    </row>
    <row r="203" spans="1:29" x14ac:dyDescent="0.25">
      <c r="A203" s="15"/>
      <c r="B203" t="s">
        <v>90</v>
      </c>
      <c r="E203">
        <f t="shared" ca="1" si="173"/>
        <v>0</v>
      </c>
      <c r="F203" t="str">
        <f>IFERROR(IF(YEAR(B203)=Start!$B$1,MONTH(B203),""),"")</f>
        <v/>
      </c>
      <c r="G203" s="64" t="str">
        <f>IFERROR(VLOOKUP(B203,Start!A$111:B$273,2,FALSE),"")</f>
        <v/>
      </c>
      <c r="L203" s="1">
        <f t="shared" si="178"/>
        <v>0</v>
      </c>
      <c r="M203" s="1"/>
      <c r="N203" s="1"/>
      <c r="O203" s="21">
        <f t="shared" ref="O203" si="219">L203</f>
        <v>0</v>
      </c>
      <c r="P203" s="40"/>
      <c r="Q203" s="21"/>
      <c r="U203" s="1">
        <f t="shared" ref="U203" si="220">SUMIFS(D195:D201,F195:F201,"&gt;0")</f>
        <v>0</v>
      </c>
      <c r="V203" s="1"/>
      <c r="W203" s="1"/>
      <c r="X203" s="21">
        <f>U203</f>
        <v>0</v>
      </c>
      <c r="Z203" s="70" t="str">
        <f>IF(SUMIFS(TrackingTime!H:H,TrackingTime!F:F,Timer!B203,TrackingTime!C:C,"Hovedkontoret")&gt;0,SUMIFS(TrackingTime!H:H,TrackingTime!F:F,Timer!B203,TrackingTime!C:C,"Hovedkontoret"),"")</f>
        <v/>
      </c>
      <c r="AA203" s="71" t="str">
        <f t="shared" si="147"/>
        <v/>
      </c>
      <c r="AB203" t="str">
        <f>IF(SUMIFS(TrackingTime!H:H,TrackingTime!F:F,Timer!B203,TrackingTime!C:C,Start!$F$3)&gt;0,SUMIFS(TrackingTime!H:H,TrackingTime!F:F,Timer!B203,TrackingTime!C:C,Start!$F$3),"")</f>
        <v/>
      </c>
      <c r="AC203" s="71" t="str">
        <f t="shared" si="150"/>
        <v/>
      </c>
    </row>
    <row r="204" spans="1:29" x14ac:dyDescent="0.25">
      <c r="A204" s="16">
        <f>B201-B195-1</f>
        <v>5</v>
      </c>
      <c r="B204" t="s">
        <v>117</v>
      </c>
      <c r="E204">
        <f t="shared" ca="1" si="173"/>
        <v>0</v>
      </c>
      <c r="F204" t="str">
        <f>IFERROR(IF(YEAR(B204)=Start!$B$1,MONTH(B204),""),"")</f>
        <v/>
      </c>
      <c r="G204" s="64" t="str">
        <f>IFERROR(VLOOKUP(B204,Start!A$111:B$273,2,FALSE),"")</f>
        <v/>
      </c>
      <c r="L204" s="77">
        <f t="shared" ca="1" si="181"/>
        <v>0</v>
      </c>
      <c r="O204" s="21">
        <f t="shared" ref="O204" si="221">O202-O203</f>
        <v>0</v>
      </c>
      <c r="P204" s="21"/>
      <c r="Q204" s="21"/>
      <c r="U204" s="1">
        <f t="shared" ref="U204" ca="1" si="222">U202-U203*(IF(NETWORKDAYS($B195,TODAY())&lt;0,0,IF(NETWORKDAYS($B195,TODAY())&lt;=$A204,NETWORKDAYS($B195,TODAY()),$A204)))/$A204</f>
        <v>0</v>
      </c>
      <c r="V204" s="58"/>
      <c r="W204" s="21"/>
      <c r="X204" s="21">
        <f>X202-X203</f>
        <v>0</v>
      </c>
      <c r="Z204" s="70" t="str">
        <f>IF(SUMIFS(TrackingTime!H:H,TrackingTime!F:F,Timer!B204,TrackingTime!C:C,"Hovedkontoret")&gt;0,SUMIFS(TrackingTime!H:H,TrackingTime!F:F,Timer!B204,TrackingTime!C:C,"Hovedkontoret"),"")</f>
        <v/>
      </c>
      <c r="AA204" s="71" t="str">
        <f t="shared" si="147"/>
        <v/>
      </c>
      <c r="AB204" t="str">
        <f>IF(SUMIFS(TrackingTime!H:H,TrackingTime!F:F,Timer!B204,TrackingTime!C:C,Start!$F$3)&gt;0,SUMIFS(TrackingTime!H:H,TrackingTime!F:F,Timer!B204,TrackingTime!C:C,Start!$F$3),"")</f>
        <v/>
      </c>
      <c r="AC204" s="71" t="str">
        <f t="shared" si="150"/>
        <v/>
      </c>
    </row>
    <row r="205" spans="1:29" x14ac:dyDescent="0.25">
      <c r="A205" s="15"/>
      <c r="E205">
        <f t="shared" ca="1" si="173"/>
        <v>1</v>
      </c>
      <c r="F205" t="str">
        <f>IFERROR(IF(YEAR(B205)=Start!$B$1,MONTH(B205),""),"")</f>
        <v/>
      </c>
      <c r="G205" s="64" t="str">
        <f>IFERROR(VLOOKUP(B205,Start!A$111:B$273,2,FALSE),"")</f>
        <v/>
      </c>
      <c r="O205" s="2"/>
      <c r="P205" s="2"/>
      <c r="U205" s="1"/>
      <c r="V205" s="7"/>
      <c r="X205" s="2"/>
      <c r="Z205" s="70" t="str">
        <f>IF(SUMIFS(TrackingTime!H:H,TrackingTime!F:F,Timer!B205,TrackingTime!C:C,"Hovedkontoret")&gt;0,SUMIFS(TrackingTime!H:H,TrackingTime!F:F,Timer!B205,TrackingTime!C:C,"Hovedkontoret"),"")</f>
        <v/>
      </c>
      <c r="AA205" s="71" t="str">
        <f t="shared" si="147"/>
        <v/>
      </c>
      <c r="AB205" t="str">
        <f>IF(SUMIFS(TrackingTime!H:H,TrackingTime!F:F,Timer!B205,TrackingTime!C:C,Start!$F$3)&gt;0,SUMIFS(TrackingTime!H:H,TrackingTime!F:F,Timer!B205,TrackingTime!C:C,Start!$F$3),"")</f>
        <v/>
      </c>
      <c r="AC205" s="71" t="str">
        <f t="shared" si="150"/>
        <v/>
      </c>
    </row>
    <row r="206" spans="1:29" x14ac:dyDescent="0.25">
      <c r="A206" s="2" t="s">
        <v>82</v>
      </c>
      <c r="B206" s="14" t="s">
        <v>83</v>
      </c>
      <c r="E206">
        <f t="shared" ca="1" si="173"/>
        <v>0</v>
      </c>
      <c r="F206" t="str">
        <f>IFERROR(IF(YEAR(B206)=Start!$B$1,MONTH(B206),""),"")</f>
        <v/>
      </c>
      <c r="G206" s="64" t="str">
        <f>IFERROR(VLOOKUP(B206,Start!A$111:B$273,2,FALSE),"")</f>
        <v/>
      </c>
      <c r="H206" s="2" t="s">
        <v>86</v>
      </c>
      <c r="I206" s="2" t="s">
        <v>125</v>
      </c>
      <c r="J206" s="2" t="s">
        <v>126</v>
      </c>
      <c r="K206" s="2" t="s">
        <v>127</v>
      </c>
      <c r="L206" s="3" t="s">
        <v>87</v>
      </c>
      <c r="M206" s="6"/>
      <c r="N206" s="2" t="s">
        <v>88</v>
      </c>
      <c r="O206" s="2" t="s">
        <v>89</v>
      </c>
      <c r="P206" s="2"/>
      <c r="Q206" s="2" t="s">
        <v>86</v>
      </c>
      <c r="R206" s="2" t="s">
        <v>125</v>
      </c>
      <c r="S206" s="2" t="s">
        <v>126</v>
      </c>
      <c r="T206" s="2" t="s">
        <v>127</v>
      </c>
      <c r="U206" s="3" t="s">
        <v>87</v>
      </c>
      <c r="V206" s="6"/>
      <c r="W206" s="2" t="s">
        <v>88</v>
      </c>
      <c r="X206" s="2" t="s">
        <v>89</v>
      </c>
      <c r="Z206" s="70" t="str">
        <f>IF(SUMIFS(TrackingTime!H:H,TrackingTime!F:F,Timer!B206,TrackingTime!C:C,"Hovedkontoret")&gt;0,SUMIFS(TrackingTime!H:H,TrackingTime!F:F,Timer!B206,TrackingTime!C:C,"Hovedkontoret"),"")</f>
        <v/>
      </c>
      <c r="AA206" s="71" t="str">
        <f t="shared" si="147"/>
        <v/>
      </c>
      <c r="AB206" t="str">
        <f>IF(SUMIFS(TrackingTime!H:H,TrackingTime!F:F,Timer!B206,TrackingTime!C:C,Start!$F$3)&gt;0,SUMIFS(TrackingTime!H:H,TrackingTime!F:F,Timer!B206,TrackingTime!C:C,Start!$F$3),"")</f>
        <v/>
      </c>
      <c r="AC206" s="71" t="str">
        <f t="shared" si="150"/>
        <v/>
      </c>
    </row>
    <row r="207" spans="1:29" x14ac:dyDescent="0.25">
      <c r="A207" s="15">
        <f>WEEKNUM(B207,21)</f>
        <v>17</v>
      </c>
      <c r="B207" s="63">
        <f>B201+(DAY(1))</f>
        <v>46132</v>
      </c>
      <c r="C207" t="str">
        <f>IFERROR(IF(OR(L207="Fri",L207="Ferie",L207="Syk",L207="Omsorg",B207&lt;Start!$B$7),0,IF(IFERROR(MATCH(B207,Start!A$253:A$273,0),0)&gt;0,VLOOKUP(B207,Start!A$253:F$273,3,FALSE)/100*Start!$B$4,VLOOKUP(WEEKDAY(B207,2),Start!A$240:F$246,4,FALSE))),"")</f>
        <v/>
      </c>
      <c r="D207" t="str">
        <f>IFERROR(IF(OR(U207="Fri",U207="Ferie",U207="Syk",U207="Omsorg",B207&lt;Start!$F$7),0,IF(IFERROR(MATCH(B207,Start!A$253:A$273,0),0)&gt;0,VLOOKUP(B207,Start!A$253:F$273,3,FALSE)/100*Start!$F$4,VLOOKUP(WEEKDAY(B207,2),Start!A$240:F$246,6,FALSE))),"")</f>
        <v/>
      </c>
      <c r="E207">
        <f t="shared" ca="1" si="173"/>
        <v>0</v>
      </c>
      <c r="F207">
        <f>IFERROR(IF(YEAR(B207)=Start!$B$1,MONTH(B207),""),"")</f>
        <v>4</v>
      </c>
      <c r="G207" s="64" t="str">
        <f>IFERROR(VLOOKUP(B207,Start!A$111:B$273,2,FALSE),"")</f>
        <v/>
      </c>
      <c r="H207" s="21"/>
      <c r="I207" s="78">
        <v>0.33333333333333331</v>
      </c>
      <c r="J207" s="78">
        <v>0.33333333333333331</v>
      </c>
      <c r="K207" s="1" t="str">
        <f>IF(Start!$B$6="Ja","",IF(((J207-I207)*24)&gt;=5.5,"X",""))</f>
        <v/>
      </c>
      <c r="L207" s="1" t="str">
        <f>IF(_xlfn.IFNA(MATCH($A207,Start!$H$3:$H$11,0),0)&gt;0,"Ferie",IFERROR(IF(VLOOKUP(B207,Start!A$165:B$234,2,FALSE)&gt;0,"Fri",0),IF(AND((J207-I207)=0,Z207=""),"",MAX((IF(K207="X",(J207-I207)*24-0.5,(J207-I207)*24)),Z207))))</f>
        <v/>
      </c>
      <c r="M207" s="58"/>
      <c r="N207" s="21" t="str">
        <f t="shared" ref="N207:N213" si="223">IF(H207=0,"",H207)</f>
        <v/>
      </c>
      <c r="O207" s="21" t="str">
        <f t="shared" ref="O207:O213" si="224">IF(L207=0,"",L207)</f>
        <v/>
      </c>
      <c r="P207" s="2"/>
      <c r="Q207" s="21"/>
      <c r="R207" s="78">
        <v>0.33333333333333331</v>
      </c>
      <c r="S207" s="78">
        <v>0.33333333333333331</v>
      </c>
      <c r="T207" s="1" t="str">
        <f>IF(Start!$B$6="Ja","",IF(((S207-R207)*24)&gt;=5.5,"X",""))</f>
        <v/>
      </c>
      <c r="U207" s="1" t="str">
        <f>IF(_xlfn.IFNA(MATCH($A$15,Start!$H$3:$H$11,0),0)&gt;0,"Ferie",(IF(L207="fri","Fri",(IF(L207="syk","Syk",IF(L207="Ferie","Ferie",IF(AND((S207-R207)=0,AB207=""),"",MAX((IF(T207="X",(S207-R207)*24-0.5,(S207-R207)*24)),AB207))))))))</f>
        <v/>
      </c>
      <c r="V207" s="58"/>
      <c r="W207" s="21" t="str">
        <f t="shared" ref="W207:W213" si="225">IF(Q207=0,"",Q207)</f>
        <v/>
      </c>
      <c r="X207" s="21" t="str">
        <f t="shared" ref="X207:X213" si="226">IF(U207=0,"",U207)</f>
        <v/>
      </c>
      <c r="Z207" s="70" t="str">
        <f>IF(SUMIFS(TrackingTime!H:H,TrackingTime!F:F,Timer!B207,TrackingTime!C:C,"Hovedkontoret")&gt;0,SUMIFS(TrackingTime!H:H,TrackingTime!F:F,Timer!B207,TrackingTime!C:C,"Hovedkontoret"),"")</f>
        <v/>
      </c>
      <c r="AA207" s="71" t="str">
        <f t="shared" ref="AA207:AA270" si="227">IFERROR(Z207/24,"")</f>
        <v/>
      </c>
      <c r="AB207" t="str">
        <f>IF(SUMIFS(TrackingTime!H:H,TrackingTime!F:F,Timer!B207,TrackingTime!C:C,Start!$F$3)&gt;0,SUMIFS(TrackingTime!H:H,TrackingTime!F:F,Timer!B207,TrackingTime!C:C,Start!$F$3),"")</f>
        <v/>
      </c>
      <c r="AC207" s="71" t="str">
        <f t="shared" si="150"/>
        <v/>
      </c>
    </row>
    <row r="208" spans="1:29" x14ac:dyDescent="0.25">
      <c r="A208" s="15"/>
      <c r="B208" s="63">
        <f t="shared" ref="B208:B213" si="228">B207+DAY(1)</f>
        <v>46133</v>
      </c>
      <c r="C208" t="str">
        <f>IFERROR(IF(OR(L208="Fri",L208="Ferie",L208="Syk",L208="Omsorg",B208&lt;Start!$B$7),0,IF(IFERROR(MATCH(B208,Start!A$253:A$273,0),0)&gt;0,VLOOKUP(B208,Start!A$253:F$273,3,FALSE)/100*Start!$B$4,VLOOKUP(WEEKDAY(B208,2),Start!A$240:F$246,4,FALSE))),"")</f>
        <v/>
      </c>
      <c r="D208" t="str">
        <f>IFERROR(IF(OR(U208="Fri",U208="Ferie",U208="Syk",U208="Omsorg",B208&lt;Start!$F$7),0,IF(IFERROR(MATCH(B208,Start!A$253:A$273,0),0)&gt;0,VLOOKUP(B208,Start!A$253:F$273,3,FALSE)/100*Start!$F$4,VLOOKUP(WEEKDAY(B208,2),Start!A$240:F$246,6,FALSE))),"")</f>
        <v/>
      </c>
      <c r="E208">
        <f t="shared" ca="1" si="173"/>
        <v>0</v>
      </c>
      <c r="F208">
        <f>IFERROR(IF(YEAR(B208)=Start!$B$1,MONTH(B208),""),"")</f>
        <v>4</v>
      </c>
      <c r="G208" s="64" t="str">
        <f>IFERROR(VLOOKUP(B208,Start!A$111:B$273,2,FALSE),"")</f>
        <v/>
      </c>
      <c r="H208" s="21"/>
      <c r="I208" s="78">
        <v>0.33333333333333331</v>
      </c>
      <c r="J208" s="78">
        <v>0.33333333333333331</v>
      </c>
      <c r="K208" s="1" t="str">
        <f>IF(Start!$B$6="Ja","",IF(((J208-I208)*24)&gt;=5.5,"X",""))</f>
        <v/>
      </c>
      <c r="L208" s="1" t="str">
        <f>IF(_xlfn.IFNA(MATCH($A207,Start!$H$3:$H$11,0),0)&gt;0,"Ferie",IFERROR(IF(VLOOKUP($B208,Start!$A$165:$B$234,2,FALSE)&gt;0,"Fri",0),IF(AND((J208-I208)=0,Z208=""),"",MAX((IF(K208="X",(J208-I208)*24-0.5,(J208-I208)*24)),Z208))))</f>
        <v/>
      </c>
      <c r="M208" s="58"/>
      <c r="N208" s="21" t="str">
        <f t="shared" si="223"/>
        <v/>
      </c>
      <c r="O208" s="21" t="str">
        <f t="shared" si="224"/>
        <v/>
      </c>
      <c r="P208" s="2"/>
      <c r="Q208" s="21"/>
      <c r="R208" s="78">
        <v>0.33333333333333331</v>
      </c>
      <c r="S208" s="78">
        <v>0.33333333333333331</v>
      </c>
      <c r="T208" s="1" t="str">
        <f>IF(Start!$B$6="Ja","",IF(((S208-R208)*24)&gt;=5.5,"X",""))</f>
        <v/>
      </c>
      <c r="U208" s="1" t="str">
        <f>IF(_xlfn.IFNA(MATCH($A$15,Start!$H$3:$H$11,0),0)&gt;0,"Ferie",(IF(L208="fri","Fri",(IF(L208="syk","Syk",IF(L208="Ferie","Ferie",IF(AND((S208-R208)=0,AB208=""),"",MAX((IF(T208="X",(S208-R208)*24-0.5,(S208-R208)*24)),AB208))))))))</f>
        <v/>
      </c>
      <c r="V208" s="58"/>
      <c r="W208" s="21" t="str">
        <f t="shared" si="225"/>
        <v/>
      </c>
      <c r="X208" s="21" t="str">
        <f t="shared" si="226"/>
        <v/>
      </c>
      <c r="Z208" s="70" t="str">
        <f>IF(SUMIFS(TrackingTime!H:H,TrackingTime!F:F,Timer!B208,TrackingTime!C:C,"Hovedkontoret")&gt;0,SUMIFS(TrackingTime!H:H,TrackingTime!F:F,Timer!B208,TrackingTime!C:C,"Hovedkontoret"),"")</f>
        <v/>
      </c>
      <c r="AA208" s="71" t="str">
        <f t="shared" si="227"/>
        <v/>
      </c>
      <c r="AB208" t="str">
        <f>IF(SUMIFS(TrackingTime!H:H,TrackingTime!F:F,Timer!B208,TrackingTime!C:C,Start!$F$3)&gt;0,SUMIFS(TrackingTime!H:H,TrackingTime!F:F,Timer!B208,TrackingTime!C:C,Start!$F$3),"")</f>
        <v/>
      </c>
      <c r="AC208" s="71" t="str">
        <f t="shared" ref="AC208:AC271" si="229">IFERROR(AB208/24,"")</f>
        <v/>
      </c>
    </row>
    <row r="209" spans="1:29" x14ac:dyDescent="0.25">
      <c r="A209" s="15"/>
      <c r="B209" s="63">
        <f t="shared" si="228"/>
        <v>46134</v>
      </c>
      <c r="C209" t="str">
        <f>IFERROR(IF(OR(L209="Fri",L209="Ferie",L209="Syk",L209="Omsorg",B209&lt;Start!$B$7),0,IF(IFERROR(MATCH(B209,Start!A$253:A$273,0),0)&gt;0,VLOOKUP(B209,Start!A$253:F$273,3,FALSE)/100*Start!$B$4,VLOOKUP(WEEKDAY(B209,2),Start!A$240:F$246,4,FALSE))),"")</f>
        <v/>
      </c>
      <c r="D209" t="str">
        <f>IFERROR(IF(OR(U209="Fri",U209="Ferie",U209="Syk",U209="Omsorg",B209&lt;Start!$F$7),0,IF(IFERROR(MATCH(B209,Start!A$253:A$273,0),0)&gt;0,VLOOKUP(B209,Start!A$253:F$273,3,FALSE)/100*Start!$F$4,VLOOKUP(WEEKDAY(B209,2),Start!A$240:F$246,6,FALSE))),"")</f>
        <v/>
      </c>
      <c r="E209">
        <f t="shared" ca="1" si="173"/>
        <v>0</v>
      </c>
      <c r="F209">
        <f>IFERROR(IF(YEAR(B209)=Start!$B$1,MONTH(B209),""),"")</f>
        <v>4</v>
      </c>
      <c r="G209" s="64" t="str">
        <f>IFERROR(VLOOKUP(B209,Start!A$111:B$273,2,FALSE),"")</f>
        <v/>
      </c>
      <c r="H209" s="21"/>
      <c r="I209" s="78">
        <v>0.33333333333333331</v>
      </c>
      <c r="J209" s="78">
        <v>0.33333333333333331</v>
      </c>
      <c r="K209" s="1" t="str">
        <f>IF(Start!$B$6="Ja","",IF(((J209-I209)*24)&gt;=5.5,"X",""))</f>
        <v/>
      </c>
      <c r="L209" s="1" t="str">
        <f>IF(_xlfn.IFNA(MATCH($A207,Start!$H$3:$H$11,0),0)&gt;0,"Ferie",IFERROR(IF(VLOOKUP(B209,Start!A$165:B$234,2,FALSE)&gt;0,"Fri",0),IF(AND((J209-I209)=0,Z209=""),"",MAX((IF(K209="X",(J209-I209)*24-0.5,(J209-I209)*24)),Z209))))</f>
        <v/>
      </c>
      <c r="M209" s="58"/>
      <c r="N209" s="21" t="str">
        <f t="shared" si="223"/>
        <v/>
      </c>
      <c r="O209" s="21" t="str">
        <f t="shared" si="224"/>
        <v/>
      </c>
      <c r="P209" s="2"/>
      <c r="Q209" s="21"/>
      <c r="R209" s="78">
        <v>0.33333333333333331</v>
      </c>
      <c r="S209" s="78">
        <v>0.33333333333333331</v>
      </c>
      <c r="T209" s="1" t="str">
        <f>IF(Start!$B$6="Ja","",IF(((S209-R209)*24)&gt;=5.5,"X",""))</f>
        <v/>
      </c>
      <c r="U209" s="1" t="str">
        <f>IF(_xlfn.IFNA(MATCH($A$15,Start!$H$3:$H$11,0),0)&gt;0,"Ferie",(IF(L209="fri","Fri",(IF(L209="syk","Syk",IF(L209="Ferie","Ferie",IF(AND((S209-R209)=0,AB209=""),"",MAX((IF(T209="X",(S209-R209)*24-0.5,(S209-R209)*24)),AB209))))))))</f>
        <v/>
      </c>
      <c r="V209" s="58"/>
      <c r="W209" s="21" t="str">
        <f t="shared" si="225"/>
        <v/>
      </c>
      <c r="X209" s="21" t="str">
        <f t="shared" si="226"/>
        <v/>
      </c>
      <c r="Z209" s="70" t="str">
        <f>IF(SUMIFS(TrackingTime!H:H,TrackingTime!F:F,Timer!B209,TrackingTime!C:C,"Hovedkontoret")&gt;0,SUMIFS(TrackingTime!H:H,TrackingTime!F:F,Timer!B209,TrackingTime!C:C,"Hovedkontoret"),"")</f>
        <v/>
      </c>
      <c r="AA209" s="71" t="str">
        <f t="shared" si="227"/>
        <v/>
      </c>
      <c r="AB209" t="str">
        <f>IF(SUMIFS(TrackingTime!H:H,TrackingTime!F:F,Timer!B209,TrackingTime!C:C,Start!$F$3)&gt;0,SUMIFS(TrackingTime!H:H,TrackingTime!F:F,Timer!B209,TrackingTime!C:C,Start!$F$3),"")</f>
        <v/>
      </c>
      <c r="AC209" s="71" t="str">
        <f t="shared" si="229"/>
        <v/>
      </c>
    </row>
    <row r="210" spans="1:29" x14ac:dyDescent="0.25">
      <c r="A210" s="15"/>
      <c r="B210" s="63">
        <f t="shared" si="228"/>
        <v>46135</v>
      </c>
      <c r="C210" t="str">
        <f>IFERROR(IF(OR(L210="Fri",L210="Ferie",L210="Syk",L210="Omsorg",B210&lt;Start!$B$7),0,IF(IFERROR(MATCH(B210,Start!A$253:A$273,0),0)&gt;0,VLOOKUP(B210,Start!A$253:F$273,3,FALSE)/100*Start!$B$4,VLOOKUP(WEEKDAY(B210,2),Start!A$240:F$246,4,FALSE))),"")</f>
        <v/>
      </c>
      <c r="D210" t="str">
        <f>IFERROR(IF(OR(U210="Fri",U210="Ferie",U210="Syk",U210="Omsorg",B210&lt;Start!$F$7),0,IF(IFERROR(MATCH(B210,Start!A$253:A$273,0),0)&gt;0,VLOOKUP(B210,Start!A$253:F$273,3,FALSE)/100*Start!$F$4,VLOOKUP(WEEKDAY(B210,2),Start!A$240:F$246,6,FALSE))),"")</f>
        <v/>
      </c>
      <c r="E210">
        <f t="shared" ca="1" si="173"/>
        <v>0</v>
      </c>
      <c r="F210">
        <f>IFERROR(IF(YEAR(B210)=Start!$B$1,MONTH(B210),""),"")</f>
        <v>4</v>
      </c>
      <c r="G210" s="64" t="str">
        <f>IFERROR(VLOOKUP(B210,Start!A$111:B$273,2,FALSE),"")</f>
        <v/>
      </c>
      <c r="H210" s="21"/>
      <c r="I210" s="78">
        <v>0.33333333333333331</v>
      </c>
      <c r="J210" s="78">
        <v>0.33333333333333331</v>
      </c>
      <c r="K210" s="1" t="str">
        <f>IF(Start!$B$6="Ja","",IF(((J210-I210)*24)&gt;=5.5,"X",""))</f>
        <v/>
      </c>
      <c r="L210" s="1" t="str">
        <f>IF(_xlfn.IFNA(MATCH($A207,Start!$H$3:$H$11,0),0)&gt;0,"Ferie",IFERROR(IF(VLOOKUP(B210,Start!A$165:B$234,2,FALSE)&gt;0,"Fri",0),IF(AND((J210-I210)=0,Z210=""),"",MAX((IF(K210="X",(J210-I210)*24-0.5,(J210-I210)*24)),Z210))))</f>
        <v/>
      </c>
      <c r="M210" s="58"/>
      <c r="N210" s="21" t="str">
        <f t="shared" si="223"/>
        <v/>
      </c>
      <c r="O210" s="21" t="str">
        <f t="shared" si="224"/>
        <v/>
      </c>
      <c r="P210" s="2"/>
      <c r="Q210" s="21"/>
      <c r="R210" s="78">
        <v>0.33333333333333331</v>
      </c>
      <c r="S210" s="78">
        <v>0.33333333333333331</v>
      </c>
      <c r="T210" s="1" t="str">
        <f>IF(Start!$B$6="Ja","",IF(((S210-R210)*24)&gt;=5.5,"X",""))</f>
        <v/>
      </c>
      <c r="U210" s="1" t="str">
        <f>IF(_xlfn.IFNA(MATCH($A$15,Start!$H$3:$H$11,0),0)&gt;0,"Ferie",(IF(L210="fri","Fri",(IF(L210="syk","Syk",IF(L210="Ferie","Ferie",IF(AND((S210-R210)=0,AB210=""),"",MAX((IF(T210="X",(S210-R210)*24-0.5,(S210-R210)*24)),AB210))))))))</f>
        <v/>
      </c>
      <c r="V210" s="58"/>
      <c r="W210" s="21" t="str">
        <f t="shared" si="225"/>
        <v/>
      </c>
      <c r="X210" s="21" t="str">
        <f t="shared" si="226"/>
        <v/>
      </c>
      <c r="Z210" s="70" t="str">
        <f>IF(SUMIFS(TrackingTime!H:H,TrackingTime!F:F,Timer!B210,TrackingTime!C:C,"Hovedkontoret")&gt;0,SUMIFS(TrackingTime!H:H,TrackingTime!F:F,Timer!B210,TrackingTime!C:C,"Hovedkontoret"),"")</f>
        <v/>
      </c>
      <c r="AA210" s="71" t="str">
        <f t="shared" si="227"/>
        <v/>
      </c>
      <c r="AB210" t="str">
        <f>IF(SUMIFS(TrackingTime!H:H,TrackingTime!F:F,Timer!B210,TrackingTime!C:C,Start!$F$3)&gt;0,SUMIFS(TrackingTime!H:H,TrackingTime!F:F,Timer!B210,TrackingTime!C:C,Start!$F$3),"")</f>
        <v/>
      </c>
      <c r="AC210" s="71" t="str">
        <f t="shared" si="229"/>
        <v/>
      </c>
    </row>
    <row r="211" spans="1:29" x14ac:dyDescent="0.25">
      <c r="A211" s="15"/>
      <c r="B211" s="63">
        <f t="shared" si="228"/>
        <v>46136</v>
      </c>
      <c r="C211" t="str">
        <f>IFERROR(IF(OR(L211="Fri",L211="Ferie",L211="Syk",L211="Omsorg",B211&lt;Start!$B$7),0,IF(IFERROR(MATCH(B211,Start!A$253:A$273,0),0)&gt;0,VLOOKUP(B211,Start!A$253:F$273,3,FALSE)/100*Start!$B$4,VLOOKUP(WEEKDAY(B211,2),Start!A$240:F$246,4,FALSE))),"")</f>
        <v/>
      </c>
      <c r="D211" t="str">
        <f>IFERROR(IF(OR(U211="Fri",U211="Ferie",U211="Syk",U211="Omsorg",B211&lt;Start!$F$7),0,IF(IFERROR(MATCH(B211,Start!A$253:A$273,0),0)&gt;0,VLOOKUP(B211,Start!A$253:F$273,3,FALSE)/100*Start!$F$4,VLOOKUP(WEEKDAY(B211,2),Start!A$240:F$246,6,FALSE))),"")</f>
        <v/>
      </c>
      <c r="E211">
        <f t="shared" ca="1" si="173"/>
        <v>0</v>
      </c>
      <c r="F211">
        <f>IFERROR(IF(YEAR(B211)=Start!$B$1,MONTH(B211),""),"")</f>
        <v>4</v>
      </c>
      <c r="G211" s="64" t="str">
        <f>IFERROR(VLOOKUP(B211,Start!A$111:B$273,2,FALSE),"")</f>
        <v/>
      </c>
      <c r="H211" s="21"/>
      <c r="I211" s="78">
        <v>0.33333333333333331</v>
      </c>
      <c r="J211" s="78">
        <v>0.33333333333333331</v>
      </c>
      <c r="K211" s="1" t="str">
        <f>IF(Start!$B$6="Ja","",IF(((J211-I211)*24)&gt;=5.5,"X",""))</f>
        <v/>
      </c>
      <c r="L211" s="1" t="str">
        <f>IF(_xlfn.IFNA(MATCH($A207,Start!$H$3:$H$11,0),0)&gt;0,"Ferie",IFERROR(IF(VLOOKUP(B211,Start!A$165:B$234,2,FALSE)&gt;0,"Fri",0),IF(AND((J211-I211)=0,Z211=""),"",MAX((IF(K211="X",(J211-I211)*24-0.5,(J211-I211)*24)),Z211))))</f>
        <v/>
      </c>
      <c r="M211" s="58"/>
      <c r="N211" s="21" t="str">
        <f t="shared" si="223"/>
        <v/>
      </c>
      <c r="O211" s="21" t="str">
        <f t="shared" si="224"/>
        <v/>
      </c>
      <c r="P211" s="2"/>
      <c r="Q211" s="21"/>
      <c r="R211" s="78">
        <v>0.33333333333333331</v>
      </c>
      <c r="S211" s="78">
        <v>0.33333333333333331</v>
      </c>
      <c r="T211" s="1" t="str">
        <f>IF(Start!$B$6="Ja","",IF(((S211-R211)*24)&gt;=5.5,"X",""))</f>
        <v/>
      </c>
      <c r="U211" s="1" t="str">
        <f>IF(_xlfn.IFNA(MATCH($A$15,Start!$H$3:$H$11,0),0)&gt;0,"Ferie",(IF(L211="fri","Fri",(IF(L211="syk","Syk",IF(L211="Ferie","Ferie",IF(AND((S211-R211)=0,AB211=""),"",MAX((IF(T211="X",(S211-R211)*24-0.5,(S211-R211)*24)),AB211))))))))</f>
        <v/>
      </c>
      <c r="V211" s="58"/>
      <c r="W211" s="21" t="str">
        <f t="shared" si="225"/>
        <v/>
      </c>
      <c r="X211" s="21" t="str">
        <f t="shared" si="226"/>
        <v/>
      </c>
      <c r="Z211" s="70" t="str">
        <f>IF(SUMIFS(TrackingTime!H:H,TrackingTime!F:F,Timer!B211,TrackingTime!C:C,"Hovedkontoret")&gt;0,SUMIFS(TrackingTime!H:H,TrackingTime!F:F,Timer!B211,TrackingTime!C:C,"Hovedkontoret"),"")</f>
        <v/>
      </c>
      <c r="AA211" s="71" t="str">
        <f t="shared" si="227"/>
        <v/>
      </c>
      <c r="AB211" t="str">
        <f>IF(SUMIFS(TrackingTime!H:H,TrackingTime!F:F,Timer!B211,TrackingTime!C:C,Start!$F$3)&gt;0,SUMIFS(TrackingTime!H:H,TrackingTime!F:F,Timer!B211,TrackingTime!C:C,Start!$F$3),"")</f>
        <v/>
      </c>
      <c r="AC211" s="71" t="str">
        <f t="shared" si="229"/>
        <v/>
      </c>
    </row>
    <row r="212" spans="1:29" x14ac:dyDescent="0.25">
      <c r="A212" s="15"/>
      <c r="B212" s="63">
        <f t="shared" si="228"/>
        <v>46137</v>
      </c>
      <c r="C212">
        <f>IFERROR(IF(OR(L212="Fri",L212="Ferie",L212="Syk",L212="Omsorg",B212&lt;Start!$B$7),0,IF(IFERROR(MATCH(B212,Start!A$253:A$273,0),0)&gt;0,VLOOKUP(B212,Start!A$253:F$273,3,FALSE)/100*Start!$B$4,VLOOKUP(WEEKDAY(B212,2),Start!A$240:F$246,4,FALSE))),"")</f>
        <v>0</v>
      </c>
      <c r="D212">
        <f>IFERROR(IF(OR(U212="Fri",U212="Ferie",U212="Syk",U212="Omsorg",B212&lt;Start!$F$7),0,IF(IFERROR(MATCH(B212,Start!A$253:A$273,0),0)&gt;0,VLOOKUP(B212,Start!A$253:F$273,3,FALSE)/100*Start!$F$4,VLOOKUP(WEEKDAY(B212,2),Start!A$240:F$246,6,FALSE))),"")</f>
        <v>0</v>
      </c>
      <c r="E212">
        <f t="shared" ca="1" si="173"/>
        <v>0</v>
      </c>
      <c r="F212">
        <f>IFERROR(IF(YEAR(B212)=Start!$B$1,MONTH(B212),""),"")</f>
        <v>4</v>
      </c>
      <c r="G212" s="64" t="str">
        <f>IFERROR(VLOOKUP(B212,Start!A$111:B$273,2,FALSE),"")</f>
        <v/>
      </c>
      <c r="H212" s="21"/>
      <c r="I212" s="78">
        <v>0.41666666666666669</v>
      </c>
      <c r="J212" s="78">
        <v>0.41666666666666669</v>
      </c>
      <c r="K212" s="1" t="str">
        <f>IF(Start!$B$6="Ja","",IF(((J212-I212)*24)&gt;=5.5,"X",""))</f>
        <v/>
      </c>
      <c r="L212" s="1" t="str">
        <f t="shared" ref="L212:L213" si="230">IF(AND((J212-I212)=0,Z212=""),"",MAX((IF(K212="X",(J212-I212)*24-0.5,(J212-I212)*24)),Z212))</f>
        <v/>
      </c>
      <c r="M212" s="58"/>
      <c r="N212" s="21" t="str">
        <f t="shared" si="223"/>
        <v/>
      </c>
      <c r="O212" s="21" t="str">
        <f t="shared" si="224"/>
        <v/>
      </c>
      <c r="P212" s="2"/>
      <c r="Q212" s="21"/>
      <c r="R212" s="78">
        <v>0.41666666666666669</v>
      </c>
      <c r="S212" s="78">
        <v>0.41666666666666669</v>
      </c>
      <c r="T212" s="1" t="str">
        <f>IF(Start!$B$6="Ja","",IF(((S212-R212)*24)&gt;=5.5,"X",""))</f>
        <v/>
      </c>
      <c r="U212" s="1" t="str">
        <f t="shared" ref="U212:U213" si="231">IF(AND((S212-R212)=0,AB212=""),"",MAX((IF(T212="X",(S212-R212)*24-0.5,(S212-R212)*24)),AB212))</f>
        <v/>
      </c>
      <c r="V212" s="58"/>
      <c r="W212" s="21" t="str">
        <f t="shared" si="225"/>
        <v/>
      </c>
      <c r="X212" s="21" t="str">
        <f t="shared" si="226"/>
        <v/>
      </c>
      <c r="Z212" s="70" t="str">
        <f>IF(SUMIFS(TrackingTime!H:H,TrackingTime!F:F,Timer!B212,TrackingTime!C:C,"Hovedkontoret")&gt;0,SUMIFS(TrackingTime!H:H,TrackingTime!F:F,Timer!B212,TrackingTime!C:C,"Hovedkontoret"),"")</f>
        <v/>
      </c>
      <c r="AA212" s="71" t="str">
        <f t="shared" si="227"/>
        <v/>
      </c>
      <c r="AB212" t="str">
        <f>IF(SUMIFS(TrackingTime!H:H,TrackingTime!F:F,Timer!B212,TrackingTime!C:C,Start!$F$3)&gt;0,SUMIFS(TrackingTime!H:H,TrackingTime!F:F,Timer!B212,TrackingTime!C:C,Start!$F$3),"")</f>
        <v/>
      </c>
      <c r="AC212" s="71" t="str">
        <f t="shared" si="229"/>
        <v/>
      </c>
    </row>
    <row r="213" spans="1:29" x14ac:dyDescent="0.25">
      <c r="A213" s="15"/>
      <c r="B213" s="63">
        <f t="shared" si="228"/>
        <v>46138</v>
      </c>
      <c r="C213">
        <f>IFERROR(IF(OR(L213="Fri",L213="Ferie",L213="Syk",L213="Omsorg",B213&lt;Start!$B$7),0,IF(IFERROR(MATCH(B213,Start!A$253:A$273,0),0)&gt;0,VLOOKUP(B213,Start!A$253:F$273,3,FALSE)/100*Start!$B$4,VLOOKUP(WEEKDAY(B213,2),Start!A$240:F$246,4,FALSE))),"")</f>
        <v>0</v>
      </c>
      <c r="D213">
        <f>IFERROR(IF(OR(U213="Fri",U213="Ferie",U213="Syk",U213="Omsorg",B213&lt;Start!$F$7),0,IF(IFERROR(MATCH(B213,Start!A$253:A$273,0),0)&gt;0,VLOOKUP(B213,Start!A$253:F$273,3,FALSE)/100*Start!$F$4,VLOOKUP(WEEKDAY(B213,2),Start!A$240:F$246,6,FALSE))),"")</f>
        <v>0</v>
      </c>
      <c r="E213">
        <f t="shared" ca="1" si="173"/>
        <v>0</v>
      </c>
      <c r="F213">
        <f>IFERROR(IF(YEAR(B213)=Start!$B$1,MONTH(B213),""),"")</f>
        <v>4</v>
      </c>
      <c r="G213" s="64" t="str">
        <f>IFERROR(VLOOKUP(B213,Start!A$111:B$273,2,FALSE),"")</f>
        <v/>
      </c>
      <c r="H213" s="25"/>
      <c r="I213" s="78">
        <v>0.41666666666666669</v>
      </c>
      <c r="J213" s="78">
        <v>0.41666666666666669</v>
      </c>
      <c r="K213" s="1" t="str">
        <f>IF(Start!$B$6="Ja","",IF(((J213-I213)*24)&gt;=5.5,"X",""))</f>
        <v/>
      </c>
      <c r="L213" s="1" t="str">
        <f t="shared" si="230"/>
        <v/>
      </c>
      <c r="M213" s="58"/>
      <c r="N213" s="21" t="str">
        <f t="shared" si="223"/>
        <v/>
      </c>
      <c r="O213" s="21" t="str">
        <f t="shared" si="224"/>
        <v/>
      </c>
      <c r="Q213" s="25"/>
      <c r="R213" s="78">
        <v>0.41666666666666669</v>
      </c>
      <c r="S213" s="78">
        <v>0.41666666666666669</v>
      </c>
      <c r="T213" s="1" t="str">
        <f>IF(Start!$B$6="Ja","",IF(((S213-R213)*24)&gt;=5.5,"X",""))</f>
        <v/>
      </c>
      <c r="U213" s="1" t="str">
        <f t="shared" si="231"/>
        <v/>
      </c>
      <c r="V213" s="58"/>
      <c r="W213" s="21" t="str">
        <f t="shared" si="225"/>
        <v/>
      </c>
      <c r="X213" s="21" t="str">
        <f t="shared" si="226"/>
        <v/>
      </c>
      <c r="Z213" s="70" t="str">
        <f>IF(SUMIFS(TrackingTime!H:H,TrackingTime!F:F,Timer!B213,TrackingTime!C:C,"Hovedkontoret")&gt;0,SUMIFS(TrackingTime!H:H,TrackingTime!F:F,Timer!B213,TrackingTime!C:C,"Hovedkontoret"),"")</f>
        <v/>
      </c>
      <c r="AA213" s="71" t="str">
        <f t="shared" si="227"/>
        <v/>
      </c>
      <c r="AB213" t="str">
        <f>IF(SUMIFS(TrackingTime!H:H,TrackingTime!F:F,Timer!B213,TrackingTime!C:C,Start!$F$3)&gt;0,SUMIFS(TrackingTime!H:H,TrackingTime!F:F,Timer!B213,TrackingTime!C:C,Start!$F$3),"")</f>
        <v/>
      </c>
      <c r="AC213" s="71" t="str">
        <f t="shared" si="229"/>
        <v/>
      </c>
    </row>
    <row r="214" spans="1:29" x14ac:dyDescent="0.25">
      <c r="A214" s="15"/>
      <c r="B214" s="4" t="s">
        <v>11</v>
      </c>
      <c r="C214" s="24"/>
      <c r="D214" s="24"/>
      <c r="E214" s="24">
        <f t="shared" ca="1" si="173"/>
        <v>0</v>
      </c>
      <c r="F214" s="24" t="str">
        <f>IFERROR(IF(YEAR(B214)=Start!$B$1,MONTH(B214),""),"")</f>
        <v/>
      </c>
      <c r="G214" s="64" t="str">
        <f>IFERROR(VLOOKUP(B214,Start!A$111:B$273,2,FALSE),"")</f>
        <v/>
      </c>
      <c r="H214" s="4"/>
      <c r="I214" s="4"/>
      <c r="J214" s="4"/>
      <c r="K214" s="4"/>
      <c r="L214" s="5">
        <f t="shared" si="174"/>
        <v>0</v>
      </c>
      <c r="N214" s="24"/>
      <c r="O214" s="39">
        <f t="shared" ref="O214" si="232">SUM(O207:O213)</f>
        <v>0</v>
      </c>
      <c r="P214" s="40"/>
      <c r="Q214" s="41"/>
      <c r="R214" s="4"/>
      <c r="S214" s="4"/>
      <c r="T214" s="4"/>
      <c r="U214" s="5">
        <f t="shared" ref="U214" si="233">SUM($U207:$U213)</f>
        <v>0</v>
      </c>
      <c r="V214" s="58"/>
      <c r="W214" s="39"/>
      <c r="X214" s="39">
        <f t="shared" si="177"/>
        <v>0</v>
      </c>
      <c r="Z214" s="70" t="str">
        <f>IF(SUMIFS(TrackingTime!H:H,TrackingTime!F:F,Timer!B214,TrackingTime!C:C,"Hovedkontoret")&gt;0,SUMIFS(TrackingTime!H:H,TrackingTime!F:F,Timer!B214,TrackingTime!C:C,"Hovedkontoret"),"")</f>
        <v/>
      </c>
      <c r="AA214" s="71" t="str">
        <f t="shared" si="227"/>
        <v/>
      </c>
      <c r="AB214" t="str">
        <f>IF(SUMIFS(TrackingTime!H:H,TrackingTime!F:F,Timer!B214,TrackingTime!C:C,Start!$F$3)&gt;0,SUMIFS(TrackingTime!H:H,TrackingTime!F:F,Timer!B214,TrackingTime!C:C,Start!$F$3),"")</f>
        <v/>
      </c>
      <c r="AC214" s="71" t="str">
        <f t="shared" si="229"/>
        <v/>
      </c>
    </row>
    <row r="215" spans="1:29" x14ac:dyDescent="0.25">
      <c r="A215" s="15"/>
      <c r="B215" t="s">
        <v>90</v>
      </c>
      <c r="E215">
        <f t="shared" ca="1" si="173"/>
        <v>0</v>
      </c>
      <c r="F215" t="str">
        <f>IFERROR(IF(YEAR(B215)=Start!$B$1,MONTH(B215),""),"")</f>
        <v/>
      </c>
      <c r="G215" s="64" t="str">
        <f>IFERROR(VLOOKUP(B215,Start!A$111:B$273,2,FALSE),"")</f>
        <v/>
      </c>
      <c r="L215" s="1">
        <f t="shared" si="178"/>
        <v>0</v>
      </c>
      <c r="M215" s="1"/>
      <c r="N215" s="1"/>
      <c r="O215" s="21">
        <f t="shared" ref="O215" si="234">L215</f>
        <v>0</v>
      </c>
      <c r="P215" s="40"/>
      <c r="Q215" s="21"/>
      <c r="U215" s="1">
        <f t="shared" ref="U215" si="235">SUMIFS(D207:D213,F207:F213,"&gt;0")</f>
        <v>0</v>
      </c>
      <c r="V215" s="1"/>
      <c r="W215" s="1"/>
      <c r="X215" s="21">
        <f>U215</f>
        <v>0</v>
      </c>
      <c r="Z215" s="70" t="str">
        <f>IF(SUMIFS(TrackingTime!H:H,TrackingTime!F:F,Timer!B215,TrackingTime!C:C,"Hovedkontoret")&gt;0,SUMIFS(TrackingTime!H:H,TrackingTime!F:F,Timer!B215,TrackingTime!C:C,"Hovedkontoret"),"")</f>
        <v/>
      </c>
      <c r="AA215" s="71" t="str">
        <f t="shared" si="227"/>
        <v/>
      </c>
      <c r="AB215" t="str">
        <f>IF(SUMIFS(TrackingTime!H:H,TrackingTime!F:F,Timer!B215,TrackingTime!C:C,Start!$F$3)&gt;0,SUMIFS(TrackingTime!H:H,TrackingTime!F:F,Timer!B215,TrackingTime!C:C,Start!$F$3),"")</f>
        <v/>
      </c>
      <c r="AC215" s="71" t="str">
        <f t="shared" si="229"/>
        <v/>
      </c>
    </row>
    <row r="216" spans="1:29" x14ac:dyDescent="0.25">
      <c r="A216" s="16">
        <f>B213-B207-1</f>
        <v>5</v>
      </c>
      <c r="B216" t="s">
        <v>117</v>
      </c>
      <c r="E216">
        <f t="shared" ca="1" si="173"/>
        <v>0</v>
      </c>
      <c r="F216" t="str">
        <f>IFERROR(IF(YEAR(B216)=Start!$B$1,MONTH(B216),""),"")</f>
        <v/>
      </c>
      <c r="G216" s="64" t="str">
        <f>IFERROR(VLOOKUP(B216,Start!A$111:B$273,2,FALSE),"")</f>
        <v/>
      </c>
      <c r="L216" s="77">
        <f t="shared" ca="1" si="181"/>
        <v>0</v>
      </c>
      <c r="O216" s="21">
        <f t="shared" ref="O216" si="236">O214-O215</f>
        <v>0</v>
      </c>
      <c r="P216" s="21"/>
      <c r="Q216" s="21"/>
      <c r="U216" s="1">
        <f t="shared" ref="U216" ca="1" si="237">U214-U215*(IF(NETWORKDAYS($B207,TODAY())&lt;0,0,IF(NETWORKDAYS($B207,TODAY())&lt;=$A216,NETWORKDAYS($B207,TODAY()),$A216)))/$A216</f>
        <v>0</v>
      </c>
      <c r="V216" s="58"/>
      <c r="W216" s="21"/>
      <c r="X216" s="21">
        <f>X214-X215</f>
        <v>0</v>
      </c>
      <c r="Z216" s="70" t="str">
        <f>IF(SUMIFS(TrackingTime!H:H,TrackingTime!F:F,Timer!B216,TrackingTime!C:C,"Hovedkontoret")&gt;0,SUMIFS(TrackingTime!H:H,TrackingTime!F:F,Timer!B216,TrackingTime!C:C,"Hovedkontoret"),"")</f>
        <v/>
      </c>
      <c r="AA216" s="71" t="str">
        <f t="shared" si="227"/>
        <v/>
      </c>
      <c r="AB216" t="str">
        <f>IF(SUMIFS(TrackingTime!H:H,TrackingTime!F:F,Timer!B216,TrackingTime!C:C,Start!$F$3)&gt;0,SUMIFS(TrackingTime!H:H,TrackingTime!F:F,Timer!B216,TrackingTime!C:C,Start!$F$3),"")</f>
        <v/>
      </c>
      <c r="AC216" s="71" t="str">
        <f t="shared" si="229"/>
        <v/>
      </c>
    </row>
    <row r="217" spans="1:29" x14ac:dyDescent="0.25">
      <c r="A217" s="15"/>
      <c r="E217">
        <f t="shared" ca="1" si="173"/>
        <v>1</v>
      </c>
      <c r="F217" t="str">
        <f>IFERROR(IF(YEAR(B217)=Start!$B$1,MONTH(B217),""),"")</f>
        <v/>
      </c>
      <c r="G217" s="64" t="str">
        <f>IFERROR(VLOOKUP(B217,Start!A$111:B$273,2,FALSE),"")</f>
        <v/>
      </c>
      <c r="O217" s="2"/>
      <c r="P217" s="2"/>
      <c r="U217" s="1"/>
      <c r="V217" s="7"/>
      <c r="X217" s="2"/>
      <c r="Z217" s="70" t="str">
        <f>IF(SUMIFS(TrackingTime!H:H,TrackingTime!F:F,Timer!B217,TrackingTime!C:C,"Hovedkontoret")&gt;0,SUMIFS(TrackingTime!H:H,TrackingTime!F:F,Timer!B217,TrackingTime!C:C,"Hovedkontoret"),"")</f>
        <v/>
      </c>
      <c r="AA217" s="71" t="str">
        <f t="shared" si="227"/>
        <v/>
      </c>
      <c r="AB217" t="str">
        <f>IF(SUMIFS(TrackingTime!H:H,TrackingTime!F:F,Timer!B217,TrackingTime!C:C,Start!$F$3)&gt;0,SUMIFS(TrackingTime!H:H,TrackingTime!F:F,Timer!B217,TrackingTime!C:C,Start!$F$3),"")</f>
        <v/>
      </c>
      <c r="AC217" s="71" t="str">
        <f t="shared" si="229"/>
        <v/>
      </c>
    </row>
    <row r="218" spans="1:29" x14ac:dyDescent="0.25">
      <c r="A218" s="2" t="s">
        <v>82</v>
      </c>
      <c r="B218" s="14" t="s">
        <v>83</v>
      </c>
      <c r="E218">
        <f t="shared" ca="1" si="173"/>
        <v>0</v>
      </c>
      <c r="F218" t="str">
        <f>IFERROR(IF(YEAR(B218)=Start!$B$1,MONTH(B218),""),"")</f>
        <v/>
      </c>
      <c r="G218" s="64" t="str">
        <f>IFERROR(VLOOKUP(B218,Start!A$111:B$273,2,FALSE),"")</f>
        <v/>
      </c>
      <c r="H218" s="2" t="s">
        <v>86</v>
      </c>
      <c r="I218" s="2" t="s">
        <v>125</v>
      </c>
      <c r="J218" s="2" t="s">
        <v>126</v>
      </c>
      <c r="K218" s="2" t="s">
        <v>127</v>
      </c>
      <c r="L218" s="3" t="s">
        <v>87</v>
      </c>
      <c r="M218" s="6"/>
      <c r="N218" s="2" t="s">
        <v>88</v>
      </c>
      <c r="O218" s="2" t="s">
        <v>89</v>
      </c>
      <c r="P218" s="2"/>
      <c r="Q218" s="2" t="s">
        <v>86</v>
      </c>
      <c r="R218" s="2" t="s">
        <v>125</v>
      </c>
      <c r="S218" s="2" t="s">
        <v>126</v>
      </c>
      <c r="T218" s="2" t="s">
        <v>127</v>
      </c>
      <c r="U218" s="3" t="s">
        <v>87</v>
      </c>
      <c r="V218" s="6"/>
      <c r="W218" s="2" t="s">
        <v>88</v>
      </c>
      <c r="X218" s="2" t="s">
        <v>89</v>
      </c>
      <c r="Z218" s="70" t="str">
        <f>IF(SUMIFS(TrackingTime!H:H,TrackingTime!F:F,Timer!B218,TrackingTime!C:C,"Hovedkontoret")&gt;0,SUMIFS(TrackingTime!H:H,TrackingTime!F:F,Timer!B218,TrackingTime!C:C,"Hovedkontoret"),"")</f>
        <v/>
      </c>
      <c r="AA218" s="71" t="str">
        <f t="shared" si="227"/>
        <v/>
      </c>
      <c r="AB218" t="str">
        <f>IF(SUMIFS(TrackingTime!H:H,TrackingTime!F:F,Timer!B218,TrackingTime!C:C,Start!$F$3)&gt;0,SUMIFS(TrackingTime!H:H,TrackingTime!F:F,Timer!B218,TrackingTime!C:C,Start!$F$3),"")</f>
        <v/>
      </c>
      <c r="AC218" s="71" t="str">
        <f t="shared" si="229"/>
        <v/>
      </c>
    </row>
    <row r="219" spans="1:29" x14ac:dyDescent="0.25">
      <c r="A219" s="15">
        <f>WEEKNUM(B219,21)</f>
        <v>18</v>
      </c>
      <c r="B219" s="63">
        <f>B213+(DAY(1))</f>
        <v>46139</v>
      </c>
      <c r="C219" t="str">
        <f>IFERROR(IF(OR(L219="Fri",L219="Ferie",L219="Syk",L219="Omsorg",B219&lt;Start!$B$7),0,IF(IFERROR(MATCH(B219,Start!A$253:A$273,0),0)&gt;0,VLOOKUP(B219,Start!A$253:F$273,3,FALSE)/100*Start!$B$4,VLOOKUP(WEEKDAY(B219,2),Start!A$240:F$246,4,FALSE))),"")</f>
        <v/>
      </c>
      <c r="D219" t="str">
        <f>IFERROR(IF(OR(U219="Fri",U219="Ferie",U219="Syk",U219="Omsorg",B219&lt;Start!$F$7),0,IF(IFERROR(MATCH(B219,Start!A$253:A$273,0),0)&gt;0,VLOOKUP(B219,Start!A$253:F$273,3,FALSE)/100*Start!$F$4,VLOOKUP(WEEKDAY(B219,2),Start!A$240:F$246,6,FALSE))),"")</f>
        <v/>
      </c>
      <c r="E219">
        <f t="shared" ca="1" si="173"/>
        <v>0</v>
      </c>
      <c r="F219">
        <f>IFERROR(IF(YEAR(B219)=Start!$B$1,MONTH(B219),""),"")</f>
        <v>4</v>
      </c>
      <c r="G219" s="64" t="str">
        <f>IFERROR(VLOOKUP(B219,Start!A$111:B$273,2,FALSE),"")</f>
        <v/>
      </c>
      <c r="H219" s="21"/>
      <c r="I219" s="78">
        <v>0.33333333333333331</v>
      </c>
      <c r="J219" s="78">
        <v>0.33333333333333331</v>
      </c>
      <c r="K219" s="1" t="str">
        <f>IF(Start!$B$6="Ja","",IF(((J219-I219)*24)&gt;=5.5,"X",""))</f>
        <v/>
      </c>
      <c r="L219" s="1" t="str">
        <f>IF(_xlfn.IFNA(MATCH($A219,Start!$H$3:$H$11,0),0)&gt;0,"Ferie",IFERROR(IF(VLOOKUP(B219,Start!A$165:B$234,2,FALSE)&gt;0,"Fri",0),IF(AND((J219-I219)=0,Z219=""),"",MAX((IF(K219="X",(J219-I219)*24-0.5,(J219-I219)*24)),Z219))))</f>
        <v/>
      </c>
      <c r="M219" s="58"/>
      <c r="N219" s="21" t="str">
        <f t="shared" ref="N219:N225" si="238">IF(H219=0,"",H219)</f>
        <v/>
      </c>
      <c r="O219" s="21" t="str">
        <f t="shared" ref="O219:O225" si="239">IF(L219=0,"",L219)</f>
        <v/>
      </c>
      <c r="P219" s="2"/>
      <c r="Q219" s="21"/>
      <c r="R219" s="78">
        <v>0.33333333333333331</v>
      </c>
      <c r="S219" s="78">
        <v>0.33333333333333331</v>
      </c>
      <c r="T219" s="1" t="str">
        <f>IF(Start!$B$6="Ja","",IF(((S219-R219)*24)&gt;=5.5,"X",""))</f>
        <v/>
      </c>
      <c r="U219" s="1" t="str">
        <f>IF(_xlfn.IFNA(MATCH($A$15,Start!$H$3:$H$11,0),0)&gt;0,"Ferie",(IF(L219="fri","Fri",(IF(L219="syk","Syk",IF(L219="Ferie","Ferie",IF(AND((S219-R219)=0,AB219=""),"",MAX((IF(T219="X",(S219-R219)*24-0.5,(S219-R219)*24)),AB219))))))))</f>
        <v/>
      </c>
      <c r="V219" s="58"/>
      <c r="W219" s="21" t="str">
        <f t="shared" ref="W219:W225" si="240">IF(Q219=0,"",Q219)</f>
        <v/>
      </c>
      <c r="X219" s="21" t="str">
        <f t="shared" ref="X219:X225" si="241">IF(U219=0,"",U219)</f>
        <v/>
      </c>
      <c r="Z219" s="70" t="str">
        <f>IF(SUMIFS(TrackingTime!H:H,TrackingTime!F:F,Timer!B219,TrackingTime!C:C,"Hovedkontoret")&gt;0,SUMIFS(TrackingTime!H:H,TrackingTime!F:F,Timer!B219,TrackingTime!C:C,"Hovedkontoret"),"")</f>
        <v/>
      </c>
      <c r="AA219" s="71" t="str">
        <f t="shared" si="227"/>
        <v/>
      </c>
      <c r="AB219" t="str">
        <f>IF(SUMIFS(TrackingTime!H:H,TrackingTime!F:F,Timer!B219,TrackingTime!C:C,Start!$F$3)&gt;0,SUMIFS(TrackingTime!H:H,TrackingTime!F:F,Timer!B219,TrackingTime!C:C,Start!$F$3),"")</f>
        <v/>
      </c>
      <c r="AC219" s="71" t="str">
        <f t="shared" si="229"/>
        <v/>
      </c>
    </row>
    <row r="220" spans="1:29" x14ac:dyDescent="0.25">
      <c r="A220" s="15"/>
      <c r="B220" s="63">
        <f t="shared" ref="B220:B225" si="242">B219+DAY(1)</f>
        <v>46140</v>
      </c>
      <c r="C220" t="str">
        <f>IFERROR(IF(OR(L220="Fri",L220="Ferie",L220="Syk",L220="Omsorg",B220&lt;Start!$B$7),0,IF(IFERROR(MATCH(B220,Start!A$253:A$273,0),0)&gt;0,VLOOKUP(B220,Start!A$253:F$273,3,FALSE)/100*Start!$B$4,VLOOKUP(WEEKDAY(B220,2),Start!A$240:F$246,4,FALSE))),"")</f>
        <v/>
      </c>
      <c r="D220" t="str">
        <f>IFERROR(IF(OR(U220="Fri",U220="Ferie",U220="Syk",U220="Omsorg",B220&lt;Start!$F$7),0,IF(IFERROR(MATCH(B220,Start!A$253:A$273,0),0)&gt;0,VLOOKUP(B220,Start!A$253:F$273,3,FALSE)/100*Start!$F$4,VLOOKUP(WEEKDAY(B220,2),Start!A$240:F$246,6,FALSE))),"")</f>
        <v/>
      </c>
      <c r="E220">
        <f t="shared" ca="1" si="173"/>
        <v>0</v>
      </c>
      <c r="F220">
        <f>IFERROR(IF(YEAR(B220)=Start!$B$1,MONTH(B220),""),"")</f>
        <v>4</v>
      </c>
      <c r="G220" s="64" t="str">
        <f>IFERROR(VLOOKUP(B220,Start!A$111:B$273,2,FALSE),"")</f>
        <v/>
      </c>
      <c r="H220" s="21"/>
      <c r="I220" s="78">
        <v>0.33333333333333331</v>
      </c>
      <c r="J220" s="78">
        <v>0.33333333333333331</v>
      </c>
      <c r="K220" s="1" t="str">
        <f>IF(Start!$B$6="Ja","",IF(((J220-I220)*24)&gt;=5.5,"X",""))</f>
        <v/>
      </c>
      <c r="L220" s="1" t="str">
        <f>IF(_xlfn.IFNA(MATCH($A219,Start!$H$3:$H$11,0),0)&gt;0,"Ferie",IFERROR(IF(VLOOKUP($B220,Start!$A$165:$B$234,2,FALSE)&gt;0,"Fri",0),IF(AND((J220-I220)=0,Z220=""),"",MAX((IF(K220="X",(J220-I220)*24-0.5,(J220-I220)*24)),Z220))))</f>
        <v/>
      </c>
      <c r="M220" s="58"/>
      <c r="N220" s="21" t="str">
        <f t="shared" si="238"/>
        <v/>
      </c>
      <c r="O220" s="21" t="str">
        <f t="shared" si="239"/>
        <v/>
      </c>
      <c r="P220" s="2"/>
      <c r="Q220" s="21"/>
      <c r="R220" s="78">
        <v>0.33333333333333331</v>
      </c>
      <c r="S220" s="78">
        <v>0.33333333333333331</v>
      </c>
      <c r="T220" s="1" t="str">
        <f>IF(Start!$B$6="Ja","",IF(((S220-R220)*24)&gt;=5.5,"X",""))</f>
        <v/>
      </c>
      <c r="U220" s="1" t="str">
        <f>IF(_xlfn.IFNA(MATCH($A$15,Start!$H$3:$H$11,0),0)&gt;0,"Ferie",(IF(L220="fri","Fri",(IF(L220="syk","Syk",IF(L220="Ferie","Ferie",IF(AND((S220-R220)=0,AB220=""),"",MAX((IF(T220="X",(S220-R220)*24-0.5,(S220-R220)*24)),AB220))))))))</f>
        <v/>
      </c>
      <c r="V220" s="58"/>
      <c r="W220" s="21" t="str">
        <f t="shared" si="240"/>
        <v/>
      </c>
      <c r="X220" s="21" t="str">
        <f t="shared" si="241"/>
        <v/>
      </c>
      <c r="Z220" s="70" t="str">
        <f>IF(SUMIFS(TrackingTime!H:H,TrackingTime!F:F,Timer!B220,TrackingTime!C:C,"Hovedkontoret")&gt;0,SUMIFS(TrackingTime!H:H,TrackingTime!F:F,Timer!B220,TrackingTime!C:C,"Hovedkontoret"),"")</f>
        <v/>
      </c>
      <c r="AA220" s="71" t="str">
        <f t="shared" si="227"/>
        <v/>
      </c>
      <c r="AB220" t="str">
        <f>IF(SUMIFS(TrackingTime!H:H,TrackingTime!F:F,Timer!B220,TrackingTime!C:C,Start!$F$3)&gt;0,SUMIFS(TrackingTime!H:H,TrackingTime!F:F,Timer!B220,TrackingTime!C:C,Start!$F$3),"")</f>
        <v/>
      </c>
      <c r="AC220" s="71" t="str">
        <f t="shared" si="229"/>
        <v/>
      </c>
    </row>
    <row r="221" spans="1:29" x14ac:dyDescent="0.25">
      <c r="A221" s="15"/>
      <c r="B221" s="63">
        <f t="shared" si="242"/>
        <v>46141</v>
      </c>
      <c r="C221" t="str">
        <f>IFERROR(IF(OR(L221="Fri",L221="Ferie",L221="Syk",L221="Omsorg",B221&lt;Start!$B$7),0,IF(IFERROR(MATCH(B221,Start!A$253:A$273,0),0)&gt;0,VLOOKUP(B221,Start!A$253:F$273,3,FALSE)/100*Start!$B$4,VLOOKUP(WEEKDAY(B221,2),Start!A$240:F$246,4,FALSE))),"")</f>
        <v/>
      </c>
      <c r="D221" t="str">
        <f>IFERROR(IF(OR(U221="Fri",U221="Ferie",U221="Syk",U221="Omsorg",B221&lt;Start!$F$7),0,IF(IFERROR(MATCH(B221,Start!A$253:A$273,0),0)&gt;0,VLOOKUP(B221,Start!A$253:F$273,3,FALSE)/100*Start!$F$4,VLOOKUP(WEEKDAY(B221,2),Start!A$240:F$246,6,FALSE))),"")</f>
        <v/>
      </c>
      <c r="E221">
        <f t="shared" ca="1" si="173"/>
        <v>0</v>
      </c>
      <c r="F221">
        <f>IFERROR(IF(YEAR(B221)=Start!$B$1,MONTH(B221),""),"")</f>
        <v>4</v>
      </c>
      <c r="G221" s="64" t="str">
        <f>IFERROR(VLOOKUP(B221,Start!A$111:B$273,2,FALSE),"")</f>
        <v/>
      </c>
      <c r="H221" s="21"/>
      <c r="I221" s="78">
        <v>0.33333333333333331</v>
      </c>
      <c r="J221" s="78">
        <v>0.33333333333333331</v>
      </c>
      <c r="K221" s="1" t="str">
        <f>IF(Start!$B$6="Ja","",IF(((J221-I221)*24)&gt;=5.5,"X",""))</f>
        <v/>
      </c>
      <c r="L221" s="1" t="str">
        <f>IF(_xlfn.IFNA(MATCH($A219,Start!$H$3:$H$11,0),0)&gt;0,"Ferie",IFERROR(IF(VLOOKUP(B221,Start!A$165:B$234,2,FALSE)&gt;0,"Fri",0),IF(AND((J221-I221)=0,Z221=""),"",MAX((IF(K221="X",(J221-I221)*24-0.5,(J221-I221)*24)),Z221))))</f>
        <v/>
      </c>
      <c r="M221" s="58"/>
      <c r="N221" s="21" t="str">
        <f t="shared" si="238"/>
        <v/>
      </c>
      <c r="O221" s="21" t="str">
        <f t="shared" si="239"/>
        <v/>
      </c>
      <c r="P221" s="2"/>
      <c r="Q221" s="21"/>
      <c r="R221" s="78">
        <v>0.33333333333333331</v>
      </c>
      <c r="S221" s="78">
        <v>0.33333333333333331</v>
      </c>
      <c r="T221" s="1" t="str">
        <f>IF(Start!$B$6="Ja","",IF(((S221-R221)*24)&gt;=5.5,"X",""))</f>
        <v/>
      </c>
      <c r="U221" s="1" t="str">
        <f>IF(_xlfn.IFNA(MATCH($A$15,Start!$H$3:$H$11,0),0)&gt;0,"Ferie",(IF(L221="fri","Fri",(IF(L221="syk","Syk",IF(L221="Ferie","Ferie",IF(AND((S221-R221)=0,AB221=""),"",MAX((IF(T221="X",(S221-R221)*24-0.5,(S221-R221)*24)),AB221))))))))</f>
        <v/>
      </c>
      <c r="V221" s="58"/>
      <c r="W221" s="21" t="str">
        <f t="shared" si="240"/>
        <v/>
      </c>
      <c r="X221" s="21" t="str">
        <f t="shared" si="241"/>
        <v/>
      </c>
      <c r="Z221" s="70" t="str">
        <f>IF(SUMIFS(TrackingTime!H:H,TrackingTime!F:F,Timer!B221,TrackingTime!C:C,"Hovedkontoret")&gt;0,SUMIFS(TrackingTime!H:H,TrackingTime!F:F,Timer!B221,TrackingTime!C:C,"Hovedkontoret"),"")</f>
        <v/>
      </c>
      <c r="AA221" s="71" t="str">
        <f t="shared" si="227"/>
        <v/>
      </c>
      <c r="AB221" t="str">
        <f>IF(SUMIFS(TrackingTime!H:H,TrackingTime!F:F,Timer!B221,TrackingTime!C:C,Start!$F$3)&gt;0,SUMIFS(TrackingTime!H:H,TrackingTime!F:F,Timer!B221,TrackingTime!C:C,Start!$F$3),"")</f>
        <v/>
      </c>
      <c r="AC221" s="71" t="str">
        <f t="shared" si="229"/>
        <v/>
      </c>
    </row>
    <row r="222" spans="1:29" x14ac:dyDescent="0.25">
      <c r="A222" s="15"/>
      <c r="B222" s="63">
        <f t="shared" si="242"/>
        <v>46142</v>
      </c>
      <c r="C222" t="str">
        <f>IFERROR(IF(OR(L222="Fri",L222="Ferie",L222="Syk",L222="Omsorg",B222&lt;Start!$B$7),0,IF(IFERROR(MATCH(B222,Start!A$253:A$273,0),0)&gt;0,VLOOKUP(B222,Start!A$253:F$273,3,FALSE)/100*Start!$B$4,VLOOKUP(WEEKDAY(B222,2),Start!A$240:F$246,4,FALSE))),"")</f>
        <v/>
      </c>
      <c r="D222" t="str">
        <f>IFERROR(IF(OR(U222="Fri",U222="Ferie",U222="Syk",U222="Omsorg",B222&lt;Start!$F$7),0,IF(IFERROR(MATCH(B222,Start!A$253:A$273,0),0)&gt;0,VLOOKUP(B222,Start!A$253:F$273,3,FALSE)/100*Start!$F$4,VLOOKUP(WEEKDAY(B222,2),Start!A$240:F$246,6,FALSE))),"")</f>
        <v/>
      </c>
      <c r="E222">
        <f t="shared" ca="1" si="173"/>
        <v>0</v>
      </c>
      <c r="F222">
        <f>IFERROR(IF(YEAR(B222)=Start!$B$1,MONTH(B222),""),"")</f>
        <v>4</v>
      </c>
      <c r="G222" s="64" t="str">
        <f>IFERROR(VLOOKUP(B222,Start!A$111:B$273,2,FALSE),"")</f>
        <v/>
      </c>
      <c r="H222" s="21"/>
      <c r="I222" s="78">
        <v>0.33333333333333331</v>
      </c>
      <c r="J222" s="78">
        <v>0.33333333333333331</v>
      </c>
      <c r="K222" s="1" t="str">
        <f>IF(Start!$B$6="Ja","",IF(((J222-I222)*24)&gt;=5.5,"X",""))</f>
        <v/>
      </c>
      <c r="L222" s="1" t="str">
        <f>IF(_xlfn.IFNA(MATCH($A219,Start!$H$3:$H$11,0),0)&gt;0,"Ferie",IFERROR(IF(VLOOKUP(B222,Start!A$165:B$234,2,FALSE)&gt;0,"Fri",0),IF(AND((J222-I222)=0,Z222=""),"",MAX((IF(K222="X",(J222-I222)*24-0.5,(J222-I222)*24)),Z222))))</f>
        <v/>
      </c>
      <c r="M222" s="58"/>
      <c r="N222" s="21" t="str">
        <f t="shared" si="238"/>
        <v/>
      </c>
      <c r="O222" s="21" t="str">
        <f t="shared" si="239"/>
        <v/>
      </c>
      <c r="P222" s="2"/>
      <c r="Q222" s="21"/>
      <c r="R222" s="78">
        <v>0.33333333333333331</v>
      </c>
      <c r="S222" s="78">
        <v>0.33333333333333331</v>
      </c>
      <c r="T222" s="1" t="str">
        <f>IF(Start!$B$6="Ja","",IF(((S222-R222)*24)&gt;=5.5,"X",""))</f>
        <v/>
      </c>
      <c r="U222" s="1" t="str">
        <f>IF(_xlfn.IFNA(MATCH($A$15,Start!$H$3:$H$11,0),0)&gt;0,"Ferie",(IF(L222="fri","Fri",(IF(L222="syk","Syk",IF(L222="Ferie","Ferie",IF(AND((S222-R222)=0,AB222=""),"",MAX((IF(T222="X",(S222-R222)*24-0.5,(S222-R222)*24)),AB222))))))))</f>
        <v/>
      </c>
      <c r="V222" s="58"/>
      <c r="W222" s="21" t="str">
        <f t="shared" si="240"/>
        <v/>
      </c>
      <c r="X222" s="21" t="str">
        <f t="shared" si="241"/>
        <v/>
      </c>
      <c r="Z222" s="70" t="str">
        <f>IF(SUMIFS(TrackingTime!H:H,TrackingTime!F:F,Timer!B222,TrackingTime!C:C,"Hovedkontoret")&gt;0,SUMIFS(TrackingTime!H:H,TrackingTime!F:F,Timer!B222,TrackingTime!C:C,"Hovedkontoret"),"")</f>
        <v/>
      </c>
      <c r="AA222" s="71" t="str">
        <f t="shared" si="227"/>
        <v/>
      </c>
      <c r="AB222" t="str">
        <f>IF(SUMIFS(TrackingTime!H:H,TrackingTime!F:F,Timer!B222,TrackingTime!C:C,Start!$F$3)&gt;0,SUMIFS(TrackingTime!H:H,TrackingTime!F:F,Timer!B222,TrackingTime!C:C,Start!$F$3),"")</f>
        <v/>
      </c>
      <c r="AC222" s="71" t="str">
        <f t="shared" si="229"/>
        <v/>
      </c>
    </row>
    <row r="223" spans="1:29" x14ac:dyDescent="0.25">
      <c r="A223" s="15"/>
      <c r="B223" s="63">
        <f t="shared" si="242"/>
        <v>46143</v>
      </c>
      <c r="C223">
        <f>IFERROR(IF(OR(L223="Fri",L223="Ferie",L223="Syk",L223="Omsorg",B223&lt;Start!$B$7),0,IF(IFERROR(MATCH(B223,Start!A$253:A$273,0),0)&gt;0,VLOOKUP(B223,Start!A$253:F$273,3,FALSE)/100*Start!$B$4,VLOOKUP(WEEKDAY(B223,2),Start!A$240:F$246,4,FALSE))),"")</f>
        <v>0</v>
      </c>
      <c r="D223">
        <f>IFERROR(IF(OR(U223="Fri",U223="Ferie",U223="Syk",U223="Omsorg",B223&lt;Start!$F$7),0,IF(IFERROR(MATCH(B223,Start!A$253:A$273,0),0)&gt;0,VLOOKUP(B223,Start!A$253:F$273,3,FALSE)/100*Start!$F$4,VLOOKUP(WEEKDAY(B223,2),Start!A$240:F$246,6,FALSE))),"")</f>
        <v>0</v>
      </c>
      <c r="E223">
        <f t="shared" ca="1" si="173"/>
        <v>0</v>
      </c>
      <c r="F223">
        <f>IFERROR(IF(YEAR(B223)=Start!$B$1,MONTH(B223),""),"")</f>
        <v>5</v>
      </c>
      <c r="G223" s="64" t="str">
        <f>IFERROR(VLOOKUP(B223,Start!A$111:B$273,2,FALSE),"")</f>
        <v>Arbeiderenes dag</v>
      </c>
      <c r="H223" s="21"/>
      <c r="I223" s="78">
        <v>0.33333333333333331</v>
      </c>
      <c r="J223" s="78">
        <v>0.33333333333333331</v>
      </c>
      <c r="K223" s="1" t="str">
        <f>IF(Start!$B$6="Ja","",IF(((J223-I223)*24)&gt;=5.5,"X",""))</f>
        <v/>
      </c>
      <c r="L223" s="1" t="str">
        <f>IF(_xlfn.IFNA(MATCH($A219,Start!$H$3:$H$11,0),0)&gt;0,"Ferie",IFERROR(IF(VLOOKUP(B223,Start!A$165:B$234,2,FALSE)&gt;0,"Fri",0),IF(AND((J223-I223)=0,Z223=""),"",MAX((IF(K223="X",(J223-I223)*24-0.5,(J223-I223)*24)),Z223))))</f>
        <v>Fri</v>
      </c>
      <c r="M223" s="58"/>
      <c r="N223" s="21" t="str">
        <f t="shared" si="238"/>
        <v/>
      </c>
      <c r="O223" s="21" t="str">
        <f t="shared" si="239"/>
        <v>Fri</v>
      </c>
      <c r="P223" s="2"/>
      <c r="Q223" s="21"/>
      <c r="R223" s="78">
        <v>0.33333333333333331</v>
      </c>
      <c r="S223" s="78">
        <v>0.33333333333333331</v>
      </c>
      <c r="T223" s="1" t="str">
        <f>IF(Start!$B$6="Ja","",IF(((S223-R223)*24)&gt;=5.5,"X",""))</f>
        <v/>
      </c>
      <c r="U223" s="1" t="str">
        <f>IF(_xlfn.IFNA(MATCH($A$15,Start!$H$3:$H$11,0),0)&gt;0,"Ferie",(IF(L223="fri","Fri",(IF(L223="syk","Syk",IF(L223="Ferie","Ferie",IF(AND((S223-R223)=0,AB223=""),"",MAX((IF(T223="X",(S223-R223)*24-0.5,(S223-R223)*24)),AB223))))))))</f>
        <v>Fri</v>
      </c>
      <c r="V223" s="58"/>
      <c r="W223" s="21" t="str">
        <f t="shared" si="240"/>
        <v/>
      </c>
      <c r="X223" s="21" t="str">
        <f t="shared" si="241"/>
        <v>Fri</v>
      </c>
      <c r="Z223" s="70" t="str">
        <f>IF(SUMIFS(TrackingTime!H:H,TrackingTime!F:F,Timer!B223,TrackingTime!C:C,"Hovedkontoret")&gt;0,SUMIFS(TrackingTime!H:H,TrackingTime!F:F,Timer!B223,TrackingTime!C:C,"Hovedkontoret"),"")</f>
        <v/>
      </c>
      <c r="AA223" s="71" t="str">
        <f t="shared" si="227"/>
        <v/>
      </c>
      <c r="AB223" t="str">
        <f>IF(SUMIFS(TrackingTime!H:H,TrackingTime!F:F,Timer!B223,TrackingTime!C:C,Start!$F$3)&gt;0,SUMIFS(TrackingTime!H:H,TrackingTime!F:F,Timer!B223,TrackingTime!C:C,Start!$F$3),"")</f>
        <v/>
      </c>
      <c r="AC223" s="71" t="str">
        <f t="shared" si="229"/>
        <v/>
      </c>
    </row>
    <row r="224" spans="1:29" x14ac:dyDescent="0.25">
      <c r="A224" s="15"/>
      <c r="B224" s="63">
        <f t="shared" si="242"/>
        <v>46144</v>
      </c>
      <c r="C224">
        <f>IFERROR(IF(OR(L224="Fri",L224="Ferie",L224="Syk",L224="Omsorg",B224&lt;Start!$B$7),0,IF(IFERROR(MATCH(B224,Start!A$253:A$273,0),0)&gt;0,VLOOKUP(B224,Start!A$253:F$273,3,FALSE)/100*Start!$B$4,VLOOKUP(WEEKDAY(B224,2),Start!A$240:F$246,4,FALSE))),"")</f>
        <v>0</v>
      </c>
      <c r="D224">
        <f>IFERROR(IF(OR(U224="Fri",U224="Ferie",U224="Syk",U224="Omsorg",B224&lt;Start!$F$7),0,IF(IFERROR(MATCH(B224,Start!A$253:A$273,0),0)&gt;0,VLOOKUP(B224,Start!A$253:F$273,3,FALSE)/100*Start!$F$4,VLOOKUP(WEEKDAY(B224,2),Start!A$240:F$246,6,FALSE))),"")</f>
        <v>0</v>
      </c>
      <c r="E224">
        <f t="shared" ca="1" si="173"/>
        <v>0</v>
      </c>
      <c r="F224">
        <f>IFERROR(IF(YEAR(B224)=Start!$B$1,MONTH(B224),""),"")</f>
        <v>5</v>
      </c>
      <c r="G224" s="64" t="str">
        <f>IFERROR(VLOOKUP(B224,Start!A$111:B$273,2,FALSE),"")</f>
        <v/>
      </c>
      <c r="H224" s="21"/>
      <c r="I224" s="78">
        <v>0.41666666666666669</v>
      </c>
      <c r="J224" s="78">
        <v>0.41666666666666669</v>
      </c>
      <c r="K224" s="1" t="str">
        <f>IF(Start!$B$6="Ja","",IF(((J224-I224)*24)&gt;=5.5,"X",""))</f>
        <v/>
      </c>
      <c r="L224" s="1" t="str">
        <f t="shared" ref="L224:L225" si="243">IF(AND((J224-I224)=0,Z224=""),"",MAX((IF(K224="X",(J224-I224)*24-0.5,(J224-I224)*24)),Z224))</f>
        <v/>
      </c>
      <c r="M224" s="58"/>
      <c r="N224" s="21" t="str">
        <f t="shared" si="238"/>
        <v/>
      </c>
      <c r="O224" s="21" t="str">
        <f t="shared" si="239"/>
        <v/>
      </c>
      <c r="P224" s="2"/>
      <c r="Q224" s="21"/>
      <c r="R224" s="78">
        <v>0.41666666666666669</v>
      </c>
      <c r="S224" s="78">
        <v>0.41666666666666669</v>
      </c>
      <c r="T224" s="1" t="str">
        <f>IF(Start!$B$6="Ja","",IF(((S224-R224)*24)&gt;=5.5,"X",""))</f>
        <v/>
      </c>
      <c r="U224" s="1" t="str">
        <f t="shared" ref="U224:U225" si="244">IF(AND((S224-R224)=0,AB224=""),"",MAX((IF(T224="X",(S224-R224)*24-0.5,(S224-R224)*24)),AB224))</f>
        <v/>
      </c>
      <c r="V224" s="58"/>
      <c r="W224" s="21" t="str">
        <f t="shared" si="240"/>
        <v/>
      </c>
      <c r="X224" s="21" t="str">
        <f t="shared" si="241"/>
        <v/>
      </c>
      <c r="Z224" s="70" t="str">
        <f>IF(SUMIFS(TrackingTime!H:H,TrackingTime!F:F,Timer!B224,TrackingTime!C:C,"Hovedkontoret")&gt;0,SUMIFS(TrackingTime!H:H,TrackingTime!F:F,Timer!B224,TrackingTime!C:C,"Hovedkontoret"),"")</f>
        <v/>
      </c>
      <c r="AA224" s="71" t="str">
        <f t="shared" si="227"/>
        <v/>
      </c>
      <c r="AB224" t="str">
        <f>IF(SUMIFS(TrackingTime!H:H,TrackingTime!F:F,Timer!B224,TrackingTime!C:C,Start!$F$3)&gt;0,SUMIFS(TrackingTime!H:H,TrackingTime!F:F,Timer!B224,TrackingTime!C:C,Start!$F$3),"")</f>
        <v/>
      </c>
      <c r="AC224" s="71" t="str">
        <f t="shared" si="229"/>
        <v/>
      </c>
    </row>
    <row r="225" spans="1:29" x14ac:dyDescent="0.25">
      <c r="A225" s="15"/>
      <c r="B225" s="63">
        <f t="shared" si="242"/>
        <v>46145</v>
      </c>
      <c r="C225">
        <f>IFERROR(IF(OR(L225="Fri",L225="Ferie",L225="Syk",L225="Omsorg",B225&lt;Start!$B$7),0,IF(IFERROR(MATCH(B225,Start!A$253:A$273,0),0)&gt;0,VLOOKUP(B225,Start!A$253:F$273,3,FALSE)/100*Start!$B$4,VLOOKUP(WEEKDAY(B225,2),Start!A$240:F$246,4,FALSE))),"")</f>
        <v>0</v>
      </c>
      <c r="D225">
        <f>IFERROR(IF(OR(U225="Fri",U225="Ferie",U225="Syk",U225="Omsorg",B225&lt;Start!$F$7),0,IF(IFERROR(MATCH(B225,Start!A$253:A$273,0),0)&gt;0,VLOOKUP(B225,Start!A$253:F$273,3,FALSE)/100*Start!$F$4,VLOOKUP(WEEKDAY(B225,2),Start!A$240:F$246,6,FALSE))),"")</f>
        <v>0</v>
      </c>
      <c r="E225">
        <f t="shared" ca="1" si="173"/>
        <v>0</v>
      </c>
      <c r="F225">
        <f>IFERROR(IF(YEAR(B225)=Start!$B$1,MONTH(B225),""),"")</f>
        <v>5</v>
      </c>
      <c r="G225" s="64" t="str">
        <f>IFERROR(VLOOKUP(B225,Start!A$111:B$273,2,FALSE),"")</f>
        <v/>
      </c>
      <c r="H225" s="25"/>
      <c r="I225" s="78">
        <v>0.41666666666666669</v>
      </c>
      <c r="J225" s="78">
        <v>0.41666666666666669</v>
      </c>
      <c r="K225" s="1" t="str">
        <f>IF(Start!$B$6="Ja","",IF(((J225-I225)*24)&gt;=5.5,"X",""))</f>
        <v/>
      </c>
      <c r="L225" s="1" t="str">
        <f t="shared" si="243"/>
        <v/>
      </c>
      <c r="M225" s="58"/>
      <c r="N225" s="21" t="str">
        <f t="shared" si="238"/>
        <v/>
      </c>
      <c r="O225" s="21" t="str">
        <f t="shared" si="239"/>
        <v/>
      </c>
      <c r="Q225" s="25"/>
      <c r="R225" s="78">
        <v>0.41666666666666669</v>
      </c>
      <c r="S225" s="78">
        <v>0.41666666666666669</v>
      </c>
      <c r="T225" s="1" t="str">
        <f>IF(Start!$B$6="Ja","",IF(((S225-R225)*24)&gt;=5.5,"X",""))</f>
        <v/>
      </c>
      <c r="U225" s="1" t="str">
        <f t="shared" si="244"/>
        <v/>
      </c>
      <c r="V225" s="58"/>
      <c r="W225" s="21" t="str">
        <f t="shared" si="240"/>
        <v/>
      </c>
      <c r="X225" s="21" t="str">
        <f t="shared" si="241"/>
        <v/>
      </c>
      <c r="Z225" s="70" t="str">
        <f>IF(SUMIFS(TrackingTime!H:H,TrackingTime!F:F,Timer!B225,TrackingTime!C:C,"Hovedkontoret")&gt;0,SUMIFS(TrackingTime!H:H,TrackingTime!F:F,Timer!B225,TrackingTime!C:C,"Hovedkontoret"),"")</f>
        <v/>
      </c>
      <c r="AA225" s="71" t="str">
        <f t="shared" si="227"/>
        <v/>
      </c>
      <c r="AB225" t="str">
        <f>IF(SUMIFS(TrackingTime!H:H,TrackingTime!F:F,Timer!B225,TrackingTime!C:C,Start!$F$3)&gt;0,SUMIFS(TrackingTime!H:H,TrackingTime!F:F,Timer!B225,TrackingTime!C:C,Start!$F$3),"")</f>
        <v/>
      </c>
      <c r="AC225" s="71" t="str">
        <f t="shared" si="229"/>
        <v/>
      </c>
    </row>
    <row r="226" spans="1:29" x14ac:dyDescent="0.25">
      <c r="A226" s="15"/>
      <c r="B226" s="4" t="s">
        <v>11</v>
      </c>
      <c r="C226" s="24"/>
      <c r="D226" s="24"/>
      <c r="E226" s="24">
        <f t="shared" ca="1" si="173"/>
        <v>0</v>
      </c>
      <c r="F226" s="24" t="str">
        <f>IFERROR(IF(YEAR(B226)=Start!$B$1,MONTH(B226),""),"")</f>
        <v/>
      </c>
      <c r="G226" s="64" t="str">
        <f>IFERROR(VLOOKUP(B226,Start!A$111:B$273,2,FALSE),"")</f>
        <v/>
      </c>
      <c r="H226" s="4"/>
      <c r="I226" s="4"/>
      <c r="J226" s="4"/>
      <c r="K226" s="4"/>
      <c r="L226" s="5">
        <f t="shared" si="174"/>
        <v>0</v>
      </c>
      <c r="N226" s="24"/>
      <c r="O226" s="39">
        <f t="shared" ref="O226" si="245">SUM(O219:O225)</f>
        <v>0</v>
      </c>
      <c r="P226" s="40"/>
      <c r="Q226" s="41"/>
      <c r="R226" s="4"/>
      <c r="S226" s="4"/>
      <c r="T226" s="4"/>
      <c r="U226" s="5">
        <f t="shared" ref="U226" si="246">SUM($U219:$U225)</f>
        <v>0</v>
      </c>
      <c r="V226" s="58"/>
      <c r="W226" s="39"/>
      <c r="X226" s="39">
        <f t="shared" ref="X226:X274" si="247">SUM(X219:X225)</f>
        <v>0</v>
      </c>
      <c r="Z226" s="70" t="str">
        <f>IF(SUMIFS(TrackingTime!H:H,TrackingTime!F:F,Timer!B226,TrackingTime!C:C,"Hovedkontoret")&gt;0,SUMIFS(TrackingTime!H:H,TrackingTime!F:F,Timer!B226,TrackingTime!C:C,"Hovedkontoret"),"")</f>
        <v/>
      </c>
      <c r="AA226" s="71" t="str">
        <f t="shared" si="227"/>
        <v/>
      </c>
      <c r="AB226" t="str">
        <f>IF(SUMIFS(TrackingTime!H:H,TrackingTime!F:F,Timer!B226,TrackingTime!C:C,Start!$F$3)&gt;0,SUMIFS(TrackingTime!H:H,TrackingTime!F:F,Timer!B226,TrackingTime!C:C,Start!$F$3),"")</f>
        <v/>
      </c>
      <c r="AC226" s="71" t="str">
        <f t="shared" si="229"/>
        <v/>
      </c>
    </row>
    <row r="227" spans="1:29" x14ac:dyDescent="0.25">
      <c r="A227" s="15"/>
      <c r="B227" t="s">
        <v>90</v>
      </c>
      <c r="E227">
        <f t="shared" ca="1" si="173"/>
        <v>0</v>
      </c>
      <c r="F227" t="str">
        <f>IFERROR(IF(YEAR(B227)=Start!$B$1,MONTH(B227),""),"")</f>
        <v/>
      </c>
      <c r="G227" s="64" t="str">
        <f>IFERROR(VLOOKUP(B227,Start!A$111:B$273,2,FALSE),"")</f>
        <v/>
      </c>
      <c r="L227" s="1">
        <f t="shared" si="178"/>
        <v>0</v>
      </c>
      <c r="M227" s="1"/>
      <c r="N227" s="1"/>
      <c r="O227" s="21">
        <f t="shared" ref="O227" si="248">L227</f>
        <v>0</v>
      </c>
      <c r="P227" s="40"/>
      <c r="Q227" s="21"/>
      <c r="U227" s="1">
        <f t="shared" ref="U227" si="249">SUMIFS(D219:D225,F219:F225,"&gt;0")</f>
        <v>0</v>
      </c>
      <c r="V227" s="1"/>
      <c r="W227" s="1"/>
      <c r="X227" s="21">
        <f>U227</f>
        <v>0</v>
      </c>
      <c r="Z227" s="70" t="str">
        <f>IF(SUMIFS(TrackingTime!H:H,TrackingTime!F:F,Timer!B227,TrackingTime!C:C,"Hovedkontoret")&gt;0,SUMIFS(TrackingTime!H:H,TrackingTime!F:F,Timer!B227,TrackingTime!C:C,"Hovedkontoret"),"")</f>
        <v/>
      </c>
      <c r="AA227" s="71" t="str">
        <f t="shared" si="227"/>
        <v/>
      </c>
      <c r="AB227" t="str">
        <f>IF(SUMIFS(TrackingTime!H:H,TrackingTime!F:F,Timer!B227,TrackingTime!C:C,Start!$F$3)&gt;0,SUMIFS(TrackingTime!H:H,TrackingTime!F:F,Timer!B227,TrackingTime!C:C,Start!$F$3),"")</f>
        <v/>
      </c>
      <c r="AC227" s="71" t="str">
        <f t="shared" si="229"/>
        <v/>
      </c>
    </row>
    <row r="228" spans="1:29" x14ac:dyDescent="0.25">
      <c r="A228" s="16">
        <f>B225-B219-1</f>
        <v>5</v>
      </c>
      <c r="B228" t="s">
        <v>117</v>
      </c>
      <c r="E228">
        <f t="shared" ca="1" si="173"/>
        <v>0</v>
      </c>
      <c r="F228" t="str">
        <f>IFERROR(IF(YEAR(B228)=Start!$B$1,MONTH(B228),""),"")</f>
        <v/>
      </c>
      <c r="G228" s="64" t="str">
        <f>IFERROR(VLOOKUP(B228,Start!A$111:B$273,2,FALSE),"")</f>
        <v/>
      </c>
      <c r="L228" s="77">
        <f t="shared" ca="1" si="181"/>
        <v>0</v>
      </c>
      <c r="O228" s="21">
        <f t="shared" ref="O228" si="250">O226-O227</f>
        <v>0</v>
      </c>
      <c r="P228" s="21"/>
      <c r="Q228" s="21"/>
      <c r="U228" s="1">
        <f t="shared" ref="U228" ca="1" si="251">U226-U227*(IF(NETWORKDAYS($B219,TODAY())&lt;0,0,IF(NETWORKDAYS($B219,TODAY())&lt;=$A228,NETWORKDAYS($B219,TODAY()),$A228)))/$A228</f>
        <v>0</v>
      </c>
      <c r="V228" s="58"/>
      <c r="W228" s="21"/>
      <c r="X228" s="21">
        <f>X226-X227</f>
        <v>0</v>
      </c>
      <c r="Z228" s="70" t="str">
        <f>IF(SUMIFS(TrackingTime!H:H,TrackingTime!F:F,Timer!B228,TrackingTime!C:C,"Hovedkontoret")&gt;0,SUMIFS(TrackingTime!H:H,TrackingTime!F:F,Timer!B228,TrackingTime!C:C,"Hovedkontoret"),"")</f>
        <v/>
      </c>
      <c r="AA228" s="71" t="str">
        <f t="shared" si="227"/>
        <v/>
      </c>
      <c r="AB228" t="str">
        <f>IF(SUMIFS(TrackingTime!H:H,TrackingTime!F:F,Timer!B228,TrackingTime!C:C,Start!$F$3)&gt;0,SUMIFS(TrackingTime!H:H,TrackingTime!F:F,Timer!B228,TrackingTime!C:C,Start!$F$3),"")</f>
        <v/>
      </c>
      <c r="AC228" s="71" t="str">
        <f t="shared" si="229"/>
        <v/>
      </c>
    </row>
    <row r="229" spans="1:29" x14ac:dyDescent="0.25">
      <c r="A229" s="15"/>
      <c r="E229">
        <f t="shared" ca="1" si="173"/>
        <v>1</v>
      </c>
      <c r="F229" t="str">
        <f>IFERROR(IF(YEAR(B229)=Start!$B$1,MONTH(B229),""),"")</f>
        <v/>
      </c>
      <c r="G229" s="64" t="str">
        <f>IFERROR(VLOOKUP(B229,Start!A$111:B$273,2,FALSE),"")</f>
        <v/>
      </c>
      <c r="O229" s="2"/>
      <c r="P229" s="2"/>
      <c r="U229" s="1"/>
      <c r="V229" s="7"/>
      <c r="X229" s="2"/>
      <c r="Z229" s="70" t="str">
        <f>IF(SUMIFS(TrackingTime!H:H,TrackingTime!F:F,Timer!B229,TrackingTime!C:C,"Hovedkontoret")&gt;0,SUMIFS(TrackingTime!H:H,TrackingTime!F:F,Timer!B229,TrackingTime!C:C,"Hovedkontoret"),"")</f>
        <v/>
      </c>
      <c r="AA229" s="71" t="str">
        <f t="shared" si="227"/>
        <v/>
      </c>
      <c r="AB229" t="str">
        <f>IF(SUMIFS(TrackingTime!H:H,TrackingTime!F:F,Timer!B229,TrackingTime!C:C,Start!$F$3)&gt;0,SUMIFS(TrackingTime!H:H,TrackingTime!F:F,Timer!B229,TrackingTime!C:C,Start!$F$3),"")</f>
        <v/>
      </c>
      <c r="AC229" s="71" t="str">
        <f t="shared" si="229"/>
        <v/>
      </c>
    </row>
    <row r="230" spans="1:29" x14ac:dyDescent="0.25">
      <c r="A230" s="2" t="s">
        <v>82</v>
      </c>
      <c r="B230" s="14" t="s">
        <v>83</v>
      </c>
      <c r="E230">
        <f t="shared" ref="E230:E293" ca="1" si="252">IF(B230&gt;TODAY(),0,1)</f>
        <v>0</v>
      </c>
      <c r="F230" t="str">
        <f>IFERROR(IF(YEAR(B230)=Start!$B$1,MONTH(B230),""),"")</f>
        <v/>
      </c>
      <c r="G230" s="64" t="str">
        <f>IFERROR(VLOOKUP(B230,Start!A$111:B$273,2,FALSE),"")</f>
        <v/>
      </c>
      <c r="H230" s="2" t="s">
        <v>86</v>
      </c>
      <c r="I230" s="2" t="s">
        <v>125</v>
      </c>
      <c r="J230" s="2" t="s">
        <v>126</v>
      </c>
      <c r="K230" s="2" t="s">
        <v>127</v>
      </c>
      <c r="L230" s="3" t="s">
        <v>87</v>
      </c>
      <c r="M230" s="6"/>
      <c r="N230" s="2" t="s">
        <v>88</v>
      </c>
      <c r="O230" s="2" t="s">
        <v>89</v>
      </c>
      <c r="P230" s="2"/>
      <c r="Q230" s="2" t="s">
        <v>86</v>
      </c>
      <c r="R230" s="2" t="s">
        <v>125</v>
      </c>
      <c r="S230" s="2" t="s">
        <v>126</v>
      </c>
      <c r="T230" s="2" t="s">
        <v>127</v>
      </c>
      <c r="U230" s="3" t="s">
        <v>87</v>
      </c>
      <c r="V230" s="6"/>
      <c r="W230" s="2" t="s">
        <v>88</v>
      </c>
      <c r="X230" s="2" t="s">
        <v>89</v>
      </c>
      <c r="Z230" s="70" t="str">
        <f>IF(SUMIFS(TrackingTime!H:H,TrackingTime!F:F,Timer!B230,TrackingTime!C:C,"Hovedkontoret")&gt;0,SUMIFS(TrackingTime!H:H,TrackingTime!F:F,Timer!B230,TrackingTime!C:C,"Hovedkontoret"),"")</f>
        <v/>
      </c>
      <c r="AA230" s="71" t="str">
        <f t="shared" si="227"/>
        <v/>
      </c>
      <c r="AB230" t="str">
        <f>IF(SUMIFS(TrackingTime!H:H,TrackingTime!F:F,Timer!B230,TrackingTime!C:C,Start!$F$3)&gt;0,SUMIFS(TrackingTime!H:H,TrackingTime!F:F,Timer!B230,TrackingTime!C:C,Start!$F$3),"")</f>
        <v/>
      </c>
      <c r="AC230" s="71" t="str">
        <f t="shared" si="229"/>
        <v/>
      </c>
    </row>
    <row r="231" spans="1:29" x14ac:dyDescent="0.25">
      <c r="A231" s="15">
        <f>WEEKNUM(B231,21)</f>
        <v>19</v>
      </c>
      <c r="B231" s="63">
        <f>B225+(DAY(1))</f>
        <v>46146</v>
      </c>
      <c r="C231" t="str">
        <f>IFERROR(IF(OR(L231="Fri",L231="Ferie",L231="Syk",L231="Omsorg",B231&lt;Start!$B$7),0,IF(IFERROR(MATCH(B231,Start!A$253:A$273,0),0)&gt;0,VLOOKUP(B231,Start!A$253:F$273,3,FALSE)/100*Start!$B$4,VLOOKUP(WEEKDAY(B231,2),Start!A$240:F$246,4,FALSE))),"")</f>
        <v/>
      </c>
      <c r="D231" t="str">
        <f>IFERROR(IF(OR(U231="Fri",U231="Ferie",U231="Syk",U231="Omsorg",B231&lt;Start!$F$7),0,IF(IFERROR(MATCH(B231,Start!A$253:A$273,0),0)&gt;0,VLOOKUP(B231,Start!A$253:F$273,3,FALSE)/100*Start!$F$4,VLOOKUP(WEEKDAY(B231,2),Start!A$240:F$246,6,FALSE))),"")</f>
        <v/>
      </c>
      <c r="E231">
        <f t="shared" ca="1" si="252"/>
        <v>0</v>
      </c>
      <c r="F231">
        <f>IFERROR(IF(YEAR(B231)=Start!$B$1,MONTH(B231),""),"")</f>
        <v>5</v>
      </c>
      <c r="G231" s="64" t="str">
        <f>IFERROR(VLOOKUP(B231,Start!A$111:B$273,2,FALSE),"")</f>
        <v/>
      </c>
      <c r="H231" s="21"/>
      <c r="I231" s="78">
        <v>0.33333333333333331</v>
      </c>
      <c r="J231" s="78">
        <v>0.33333333333333331</v>
      </c>
      <c r="K231" s="1" t="str">
        <f>IF(Start!$B$6="Ja","",IF(((J231-I231)*24)&gt;=5.5,"X",""))</f>
        <v/>
      </c>
      <c r="L231" s="1" t="str">
        <f>IF(_xlfn.IFNA(MATCH($A231,Start!$H$3:$H$11,0),0)&gt;0,"Ferie",IFERROR(IF(VLOOKUP(B231,Start!A$165:B$234,2,FALSE)&gt;0,"Fri",0),IF(AND((J231-I231)=0,Z231=""),"",MAX((IF(K231="X",(J231-I231)*24-0.5,(J231-I231)*24)),Z231))))</f>
        <v/>
      </c>
      <c r="M231" s="58"/>
      <c r="N231" s="21" t="str">
        <f t="shared" ref="N231:N237" si="253">IF(H231=0,"",H231)</f>
        <v/>
      </c>
      <c r="O231" s="21" t="str">
        <f t="shared" ref="O231:O237" si="254">IF(L231=0,"",L231)</f>
        <v/>
      </c>
      <c r="P231" s="2"/>
      <c r="Q231" s="21"/>
      <c r="R231" s="78">
        <v>0.33333333333333331</v>
      </c>
      <c r="S231" s="78">
        <v>0.33333333333333331</v>
      </c>
      <c r="T231" s="1" t="str">
        <f>IF(Start!$B$6="Ja","",IF(((S231-R231)*24)&gt;=5.5,"X",""))</f>
        <v/>
      </c>
      <c r="U231" s="1" t="str">
        <f>IF(_xlfn.IFNA(MATCH($A$15,Start!$H$3:$H$11,0),0)&gt;0,"Ferie",(IF(L231="fri","Fri",(IF(L231="syk","Syk",IF(L231="Ferie","Ferie",IF(AND((S231-R231)=0,AB231=""),"",MAX((IF(T231="X",(S231-R231)*24-0.5,(S231-R231)*24)),AB231))))))))</f>
        <v/>
      </c>
      <c r="V231" s="58"/>
      <c r="W231" s="21" t="str">
        <f t="shared" ref="W231:W237" si="255">IF(Q231=0,"",Q231)</f>
        <v/>
      </c>
      <c r="X231" s="21" t="str">
        <f t="shared" ref="X231:X237" si="256">IF(U231=0,"",U231)</f>
        <v/>
      </c>
      <c r="Z231" s="70" t="str">
        <f>IF(SUMIFS(TrackingTime!H:H,TrackingTime!F:F,Timer!B231,TrackingTime!C:C,"Hovedkontoret")&gt;0,SUMIFS(TrackingTime!H:H,TrackingTime!F:F,Timer!B231,TrackingTime!C:C,"Hovedkontoret"),"")</f>
        <v/>
      </c>
      <c r="AA231" s="71" t="str">
        <f t="shared" si="227"/>
        <v/>
      </c>
      <c r="AB231" t="str">
        <f>IF(SUMIFS(TrackingTime!H:H,TrackingTime!F:F,Timer!B231,TrackingTime!C:C,Start!$F$3)&gt;0,SUMIFS(TrackingTime!H:H,TrackingTime!F:F,Timer!B231,TrackingTime!C:C,Start!$F$3),"")</f>
        <v/>
      </c>
      <c r="AC231" s="71" t="str">
        <f t="shared" si="229"/>
        <v/>
      </c>
    </row>
    <row r="232" spans="1:29" x14ac:dyDescent="0.25">
      <c r="A232" s="15"/>
      <c r="B232" s="63">
        <f t="shared" ref="B232:B237" si="257">B231+DAY(1)</f>
        <v>46147</v>
      </c>
      <c r="C232" t="str">
        <f>IFERROR(IF(OR(L232="Fri",L232="Ferie",L232="Syk",L232="Omsorg",B232&lt;Start!$B$7),0,IF(IFERROR(MATCH(B232,Start!A$253:A$273,0),0)&gt;0,VLOOKUP(B232,Start!A$253:F$273,3,FALSE)/100*Start!$B$4,VLOOKUP(WEEKDAY(B232,2),Start!A$240:F$246,4,FALSE))),"")</f>
        <v/>
      </c>
      <c r="D232" t="str">
        <f>IFERROR(IF(OR(U232="Fri",U232="Ferie",U232="Syk",U232="Omsorg",B232&lt;Start!$F$7),0,IF(IFERROR(MATCH(B232,Start!A$253:A$273,0),0)&gt;0,VLOOKUP(B232,Start!A$253:F$273,3,FALSE)/100*Start!$F$4,VLOOKUP(WEEKDAY(B232,2),Start!A$240:F$246,6,FALSE))),"")</f>
        <v/>
      </c>
      <c r="E232">
        <f t="shared" ca="1" si="252"/>
        <v>0</v>
      </c>
      <c r="F232">
        <f>IFERROR(IF(YEAR(B232)=Start!$B$1,MONTH(B232),""),"")</f>
        <v>5</v>
      </c>
      <c r="G232" s="64" t="str">
        <f>IFERROR(VLOOKUP(B232,Start!A$111:B$273,2,FALSE),"")</f>
        <v/>
      </c>
      <c r="H232" s="21"/>
      <c r="I232" s="78">
        <v>0.33333333333333331</v>
      </c>
      <c r="J232" s="78">
        <v>0.33333333333333331</v>
      </c>
      <c r="K232" s="1" t="str">
        <f>IF(Start!$B$6="Ja","",IF(((J232-I232)*24)&gt;=5.5,"X",""))</f>
        <v/>
      </c>
      <c r="L232" s="1" t="str">
        <f>IF(_xlfn.IFNA(MATCH($A231,Start!$H$3:$H$11,0),0)&gt;0,"Ferie",IFERROR(IF(VLOOKUP($B232,Start!$A$165:$B$234,2,FALSE)&gt;0,"Fri",0),IF(AND((J232-I232)=0,Z232=""),"",MAX((IF(K232="X",(J232-I232)*24-0.5,(J232-I232)*24)),Z232))))</f>
        <v/>
      </c>
      <c r="M232" s="58"/>
      <c r="N232" s="21" t="str">
        <f t="shared" si="253"/>
        <v/>
      </c>
      <c r="O232" s="21" t="str">
        <f t="shared" si="254"/>
        <v/>
      </c>
      <c r="P232" s="2"/>
      <c r="Q232" s="21"/>
      <c r="R232" s="78">
        <v>0.33333333333333331</v>
      </c>
      <c r="S232" s="78">
        <v>0.33333333333333331</v>
      </c>
      <c r="T232" s="1" t="str">
        <f>IF(Start!$B$6="Ja","",IF(((S232-R232)*24)&gt;=5.5,"X",""))</f>
        <v/>
      </c>
      <c r="U232" s="1" t="str">
        <f>IF(_xlfn.IFNA(MATCH($A$15,Start!$H$3:$H$11,0),0)&gt;0,"Ferie",(IF(L232="fri","Fri",(IF(L232="syk","Syk",IF(L232="Ferie","Ferie",IF(AND((S232-R232)=0,AB232=""),"",MAX((IF(T232="X",(S232-R232)*24-0.5,(S232-R232)*24)),AB232))))))))</f>
        <v/>
      </c>
      <c r="V232" s="58"/>
      <c r="W232" s="21" t="str">
        <f t="shared" si="255"/>
        <v/>
      </c>
      <c r="X232" s="21" t="str">
        <f t="shared" si="256"/>
        <v/>
      </c>
      <c r="Z232" s="70" t="str">
        <f>IF(SUMIFS(TrackingTime!H:H,TrackingTime!F:F,Timer!B232,TrackingTime!C:C,"Hovedkontoret")&gt;0,SUMIFS(TrackingTime!H:H,TrackingTime!F:F,Timer!B232,TrackingTime!C:C,"Hovedkontoret"),"")</f>
        <v/>
      </c>
      <c r="AA232" s="71" t="str">
        <f t="shared" si="227"/>
        <v/>
      </c>
      <c r="AB232" t="str">
        <f>IF(SUMIFS(TrackingTime!H:H,TrackingTime!F:F,Timer!B232,TrackingTime!C:C,Start!$F$3)&gt;0,SUMIFS(TrackingTime!H:H,TrackingTime!F:F,Timer!B232,TrackingTime!C:C,Start!$F$3),"")</f>
        <v/>
      </c>
      <c r="AC232" s="71" t="str">
        <f t="shared" si="229"/>
        <v/>
      </c>
    </row>
    <row r="233" spans="1:29" x14ac:dyDescent="0.25">
      <c r="A233" s="15"/>
      <c r="B233" s="63">
        <f t="shared" si="257"/>
        <v>46148</v>
      </c>
      <c r="C233" t="str">
        <f>IFERROR(IF(OR(L233="Fri",L233="Ferie",L233="Syk",L233="Omsorg",B233&lt;Start!$B$7),0,IF(IFERROR(MATCH(B233,Start!A$253:A$273,0),0)&gt;0,VLOOKUP(B233,Start!A$253:F$273,3,FALSE)/100*Start!$B$4,VLOOKUP(WEEKDAY(B233,2),Start!A$240:F$246,4,FALSE))),"")</f>
        <v/>
      </c>
      <c r="D233" t="str">
        <f>IFERROR(IF(OR(U233="Fri",U233="Ferie",U233="Syk",U233="Omsorg",B233&lt;Start!$F$7),0,IF(IFERROR(MATCH(B233,Start!A$253:A$273,0),0)&gt;0,VLOOKUP(B233,Start!A$253:F$273,3,FALSE)/100*Start!$F$4,VLOOKUP(WEEKDAY(B233,2),Start!A$240:F$246,6,FALSE))),"")</f>
        <v/>
      </c>
      <c r="E233">
        <f t="shared" ca="1" si="252"/>
        <v>0</v>
      </c>
      <c r="F233">
        <f>IFERROR(IF(YEAR(B233)=Start!$B$1,MONTH(B233),""),"")</f>
        <v>5</v>
      </c>
      <c r="G233" s="64" t="str">
        <f>IFERROR(VLOOKUP(B233,Start!A$111:B$273,2,FALSE),"")</f>
        <v/>
      </c>
      <c r="H233" s="21"/>
      <c r="I233" s="78">
        <v>0.33333333333333331</v>
      </c>
      <c r="J233" s="78">
        <v>0.33333333333333331</v>
      </c>
      <c r="K233" s="1" t="str">
        <f>IF(Start!$B$6="Ja","",IF(((J233-I233)*24)&gt;=5.5,"X",""))</f>
        <v/>
      </c>
      <c r="L233" s="1" t="str">
        <f>IF(_xlfn.IFNA(MATCH($A231,Start!$H$3:$H$11,0),0)&gt;0,"Ferie",IFERROR(IF(VLOOKUP(B233,Start!A$165:B$234,2,FALSE)&gt;0,"Fri",0),IF(AND((J233-I233)=0,Z233=""),"",MAX((IF(K233="X",(J233-I233)*24-0.5,(J233-I233)*24)),Z233))))</f>
        <v/>
      </c>
      <c r="M233" s="58"/>
      <c r="N233" s="21" t="str">
        <f t="shared" si="253"/>
        <v/>
      </c>
      <c r="O233" s="21" t="str">
        <f t="shared" si="254"/>
        <v/>
      </c>
      <c r="P233" s="2"/>
      <c r="Q233" s="21"/>
      <c r="R233" s="78">
        <v>0.33333333333333331</v>
      </c>
      <c r="S233" s="78">
        <v>0.33333333333333331</v>
      </c>
      <c r="T233" s="1" t="str">
        <f>IF(Start!$B$6="Ja","",IF(((S233-R233)*24)&gt;=5.5,"X",""))</f>
        <v/>
      </c>
      <c r="U233" s="1" t="str">
        <f>IF(_xlfn.IFNA(MATCH($A$15,Start!$H$3:$H$11,0),0)&gt;0,"Ferie",(IF(L233="fri","Fri",(IF(L233="syk","Syk",IF(L233="Ferie","Ferie",IF(AND((S233-R233)=0,AB233=""),"",MAX((IF(T233="X",(S233-R233)*24-0.5,(S233-R233)*24)),AB233))))))))</f>
        <v/>
      </c>
      <c r="V233" s="58"/>
      <c r="W233" s="21" t="str">
        <f t="shared" si="255"/>
        <v/>
      </c>
      <c r="X233" s="21" t="str">
        <f t="shared" si="256"/>
        <v/>
      </c>
      <c r="Z233" s="70" t="str">
        <f>IF(SUMIFS(TrackingTime!H:H,TrackingTime!F:F,Timer!B233,TrackingTime!C:C,"Hovedkontoret")&gt;0,SUMIFS(TrackingTime!H:H,TrackingTime!F:F,Timer!B233,TrackingTime!C:C,"Hovedkontoret"),"")</f>
        <v/>
      </c>
      <c r="AA233" s="71" t="str">
        <f t="shared" si="227"/>
        <v/>
      </c>
      <c r="AB233" t="str">
        <f>IF(SUMIFS(TrackingTime!H:H,TrackingTime!F:F,Timer!B233,TrackingTime!C:C,Start!$F$3)&gt;0,SUMIFS(TrackingTime!H:H,TrackingTime!F:F,Timer!B233,TrackingTime!C:C,Start!$F$3),"")</f>
        <v/>
      </c>
      <c r="AC233" s="71" t="str">
        <f t="shared" si="229"/>
        <v/>
      </c>
    </row>
    <row r="234" spans="1:29" x14ac:dyDescent="0.25">
      <c r="A234" s="15"/>
      <c r="B234" s="63">
        <f t="shared" si="257"/>
        <v>46149</v>
      </c>
      <c r="C234" t="str">
        <f>IFERROR(IF(OR(L234="Fri",L234="Ferie",L234="Syk",L234="Omsorg",B234&lt;Start!$B$7),0,IF(IFERROR(MATCH(B234,Start!A$253:A$273,0),0)&gt;0,VLOOKUP(B234,Start!A$253:F$273,3,FALSE)/100*Start!$B$4,VLOOKUP(WEEKDAY(B234,2),Start!A$240:F$246,4,FALSE))),"")</f>
        <v/>
      </c>
      <c r="D234" t="str">
        <f>IFERROR(IF(OR(U234="Fri",U234="Ferie",U234="Syk",U234="Omsorg",B234&lt;Start!$F$7),0,IF(IFERROR(MATCH(B234,Start!A$253:A$273,0),0)&gt;0,VLOOKUP(B234,Start!A$253:F$273,3,FALSE)/100*Start!$F$4,VLOOKUP(WEEKDAY(B234,2),Start!A$240:F$246,6,FALSE))),"")</f>
        <v/>
      </c>
      <c r="E234">
        <f t="shared" ca="1" si="252"/>
        <v>0</v>
      </c>
      <c r="F234">
        <f>IFERROR(IF(YEAR(B234)=Start!$B$1,MONTH(B234),""),"")</f>
        <v>5</v>
      </c>
      <c r="G234" s="64" t="str">
        <f>IFERROR(VLOOKUP(B234,Start!A$111:B$273,2,FALSE),"")</f>
        <v/>
      </c>
      <c r="H234" s="21"/>
      <c r="I234" s="78">
        <v>0.33333333333333331</v>
      </c>
      <c r="J234" s="78">
        <v>0.33333333333333331</v>
      </c>
      <c r="K234" s="1" t="str">
        <f>IF(Start!$B$6="Ja","",IF(((J234-I234)*24)&gt;=5.5,"X",""))</f>
        <v/>
      </c>
      <c r="L234" s="1" t="str">
        <f>IF(_xlfn.IFNA(MATCH($A231,Start!$H$3:$H$11,0),0)&gt;0,"Ferie",IFERROR(IF(VLOOKUP(B234,Start!A$165:B$234,2,FALSE)&gt;0,"Fri",0),IF(AND((J234-I234)=0,Z234=""),"",MAX((IF(K234="X",(J234-I234)*24-0.5,(J234-I234)*24)),Z234))))</f>
        <v/>
      </c>
      <c r="M234" s="58"/>
      <c r="N234" s="21" t="str">
        <f t="shared" si="253"/>
        <v/>
      </c>
      <c r="O234" s="21" t="str">
        <f t="shared" si="254"/>
        <v/>
      </c>
      <c r="P234" s="2"/>
      <c r="Q234" s="21"/>
      <c r="R234" s="78">
        <v>0.33333333333333331</v>
      </c>
      <c r="S234" s="78">
        <v>0.33333333333333331</v>
      </c>
      <c r="T234" s="1" t="str">
        <f>IF(Start!$B$6="Ja","",IF(((S234-R234)*24)&gt;=5.5,"X",""))</f>
        <v/>
      </c>
      <c r="U234" s="1" t="str">
        <f>IF(_xlfn.IFNA(MATCH($A$15,Start!$H$3:$H$11,0),0)&gt;0,"Ferie",(IF(L234="fri","Fri",(IF(L234="syk","Syk",IF(L234="Ferie","Ferie",IF(AND((S234-R234)=0,AB234=""),"",MAX((IF(T234="X",(S234-R234)*24-0.5,(S234-R234)*24)),AB234))))))))</f>
        <v/>
      </c>
      <c r="V234" s="58"/>
      <c r="W234" s="21" t="str">
        <f t="shared" si="255"/>
        <v/>
      </c>
      <c r="X234" s="21" t="str">
        <f t="shared" si="256"/>
        <v/>
      </c>
      <c r="Z234" s="70" t="str">
        <f>IF(SUMIFS(TrackingTime!H:H,TrackingTime!F:F,Timer!B234,TrackingTime!C:C,"Hovedkontoret")&gt;0,SUMIFS(TrackingTime!H:H,TrackingTime!F:F,Timer!B234,TrackingTime!C:C,"Hovedkontoret"),"")</f>
        <v/>
      </c>
      <c r="AA234" s="71" t="str">
        <f t="shared" si="227"/>
        <v/>
      </c>
      <c r="AB234" t="str">
        <f>IF(SUMIFS(TrackingTime!H:H,TrackingTime!F:F,Timer!B234,TrackingTime!C:C,Start!$F$3)&gt;0,SUMIFS(TrackingTime!H:H,TrackingTime!F:F,Timer!B234,TrackingTime!C:C,Start!$F$3),"")</f>
        <v/>
      </c>
      <c r="AC234" s="71" t="str">
        <f t="shared" si="229"/>
        <v/>
      </c>
    </row>
    <row r="235" spans="1:29" x14ac:dyDescent="0.25">
      <c r="A235" s="15"/>
      <c r="B235" s="63">
        <f t="shared" si="257"/>
        <v>46150</v>
      </c>
      <c r="C235" t="str">
        <f>IFERROR(IF(OR(L235="Fri",L235="Ferie",L235="Syk",L235="Omsorg",B235&lt;Start!$B$7),0,IF(IFERROR(MATCH(B235,Start!A$253:A$273,0),0)&gt;0,VLOOKUP(B235,Start!A$253:F$273,3,FALSE)/100*Start!$B$4,VLOOKUP(WEEKDAY(B235,2),Start!A$240:F$246,4,FALSE))),"")</f>
        <v/>
      </c>
      <c r="D235" t="str">
        <f>IFERROR(IF(OR(U235="Fri",U235="Ferie",U235="Syk",U235="Omsorg",B235&lt;Start!$F$7),0,IF(IFERROR(MATCH(B235,Start!A$253:A$273,0),0)&gt;0,VLOOKUP(B235,Start!A$253:F$273,3,FALSE)/100*Start!$F$4,VLOOKUP(WEEKDAY(B235,2),Start!A$240:F$246,6,FALSE))),"")</f>
        <v/>
      </c>
      <c r="E235">
        <f t="shared" ca="1" si="252"/>
        <v>0</v>
      </c>
      <c r="F235">
        <f>IFERROR(IF(YEAR(B235)=Start!$B$1,MONTH(B235),""),"")</f>
        <v>5</v>
      </c>
      <c r="G235" s="64" t="str">
        <f>IFERROR(VLOOKUP(B235,Start!A$111:B$273,2,FALSE),"")</f>
        <v/>
      </c>
      <c r="H235" s="21"/>
      <c r="I235" s="78">
        <v>0.33333333333333331</v>
      </c>
      <c r="J235" s="78">
        <v>0.33333333333333331</v>
      </c>
      <c r="K235" s="1" t="str">
        <f>IF(Start!$B$6="Ja","",IF(((J235-I235)*24)&gt;=5.5,"X",""))</f>
        <v/>
      </c>
      <c r="L235" s="1" t="str">
        <f>IF(_xlfn.IFNA(MATCH($A231,Start!$H$3:$H$11,0),0)&gt;0,"Ferie",IFERROR(IF(VLOOKUP(B235,Start!A$165:B$234,2,FALSE)&gt;0,"Fri",0),IF(AND((J235-I235)=0,Z235=""),"",MAX((IF(K235="X",(J235-I235)*24-0.5,(J235-I235)*24)),Z235))))</f>
        <v/>
      </c>
      <c r="M235" s="58"/>
      <c r="N235" s="21" t="str">
        <f t="shared" si="253"/>
        <v/>
      </c>
      <c r="O235" s="21" t="str">
        <f t="shared" si="254"/>
        <v/>
      </c>
      <c r="P235" s="2"/>
      <c r="Q235" s="21"/>
      <c r="R235" s="78">
        <v>0.33333333333333331</v>
      </c>
      <c r="S235" s="78">
        <v>0.33333333333333331</v>
      </c>
      <c r="T235" s="1" t="str">
        <f>IF(Start!$B$6="Ja","",IF(((S235-R235)*24)&gt;=5.5,"X",""))</f>
        <v/>
      </c>
      <c r="U235" s="1" t="str">
        <f>IF(_xlfn.IFNA(MATCH($A$15,Start!$H$3:$H$11,0),0)&gt;0,"Ferie",(IF(L235="fri","Fri",(IF(L235="syk","Syk",IF(L235="Ferie","Ferie",IF(AND((S235-R235)=0,AB235=""),"",MAX((IF(T235="X",(S235-R235)*24-0.5,(S235-R235)*24)),AB235))))))))</f>
        <v/>
      </c>
      <c r="V235" s="58"/>
      <c r="W235" s="21" t="str">
        <f t="shared" si="255"/>
        <v/>
      </c>
      <c r="X235" s="21" t="str">
        <f t="shared" si="256"/>
        <v/>
      </c>
      <c r="Z235" s="70" t="str">
        <f>IF(SUMIFS(TrackingTime!H:H,TrackingTime!F:F,Timer!B235,TrackingTime!C:C,"Hovedkontoret")&gt;0,SUMIFS(TrackingTime!H:H,TrackingTime!F:F,Timer!B235,TrackingTime!C:C,"Hovedkontoret"),"")</f>
        <v/>
      </c>
      <c r="AA235" s="71" t="str">
        <f t="shared" si="227"/>
        <v/>
      </c>
      <c r="AB235" t="str">
        <f>IF(SUMIFS(TrackingTime!H:H,TrackingTime!F:F,Timer!B235,TrackingTime!C:C,Start!$F$3)&gt;0,SUMIFS(TrackingTime!H:H,TrackingTime!F:F,Timer!B235,TrackingTime!C:C,Start!$F$3),"")</f>
        <v/>
      </c>
      <c r="AC235" s="71" t="str">
        <f t="shared" si="229"/>
        <v/>
      </c>
    </row>
    <row r="236" spans="1:29" x14ac:dyDescent="0.25">
      <c r="A236" s="15"/>
      <c r="B236" s="63">
        <f t="shared" si="257"/>
        <v>46151</v>
      </c>
      <c r="C236">
        <f>IFERROR(IF(OR(L236="Fri",L236="Ferie",L236="Syk",L236="Omsorg",B236&lt;Start!$B$7),0,IF(IFERROR(MATCH(B236,Start!A$253:A$273,0),0)&gt;0,VLOOKUP(B236,Start!A$253:F$273,3,FALSE)/100*Start!$B$4,VLOOKUP(WEEKDAY(B236,2),Start!A$240:F$246,4,FALSE))),"")</f>
        <v>0</v>
      </c>
      <c r="D236">
        <f>IFERROR(IF(OR(U236="Fri",U236="Ferie",U236="Syk",U236="Omsorg",B236&lt;Start!$F$7),0,IF(IFERROR(MATCH(B236,Start!A$253:A$273,0),0)&gt;0,VLOOKUP(B236,Start!A$253:F$273,3,FALSE)/100*Start!$F$4,VLOOKUP(WEEKDAY(B236,2),Start!A$240:F$246,6,FALSE))),"")</f>
        <v>0</v>
      </c>
      <c r="E236">
        <f t="shared" ca="1" si="252"/>
        <v>0</v>
      </c>
      <c r="F236">
        <f>IFERROR(IF(YEAR(B236)=Start!$B$1,MONTH(B236),""),"")</f>
        <v>5</v>
      </c>
      <c r="G236" s="64" t="str">
        <f>IFERROR(VLOOKUP(B236,Start!A$111:B$273,2,FALSE),"")</f>
        <v/>
      </c>
      <c r="H236" s="21"/>
      <c r="I236" s="78">
        <v>0.41666666666666669</v>
      </c>
      <c r="J236" s="78">
        <v>0.41666666666666669</v>
      </c>
      <c r="K236" s="1" t="str">
        <f>IF(Start!$B$6="Ja","",IF(((J236-I236)*24)&gt;=5.5,"X",""))</f>
        <v/>
      </c>
      <c r="L236" s="1" t="str">
        <f t="shared" ref="L236:L237" si="258">IF(AND((J236-I236)=0,Z236=""),"",MAX((IF(K236="X",(J236-I236)*24-0.5,(J236-I236)*24)),Z236))</f>
        <v/>
      </c>
      <c r="M236" s="58"/>
      <c r="N236" s="21" t="str">
        <f t="shared" si="253"/>
        <v/>
      </c>
      <c r="O236" s="21" t="str">
        <f t="shared" si="254"/>
        <v/>
      </c>
      <c r="P236" s="2"/>
      <c r="Q236" s="21"/>
      <c r="R236" s="78">
        <v>0.41666666666666669</v>
      </c>
      <c r="S236" s="78">
        <v>0.41666666666666669</v>
      </c>
      <c r="T236" s="1" t="str">
        <f>IF(Start!$B$6="Ja","",IF(((S236-R236)*24)&gt;=5.5,"X",""))</f>
        <v/>
      </c>
      <c r="U236" s="1" t="str">
        <f t="shared" ref="U236:U237" si="259">IF(AND((S236-R236)=0,AB236=""),"",MAX((IF(T236="X",(S236-R236)*24-0.5,(S236-R236)*24)),AB236))</f>
        <v/>
      </c>
      <c r="V236" s="58"/>
      <c r="W236" s="21" t="str">
        <f t="shared" si="255"/>
        <v/>
      </c>
      <c r="X236" s="21" t="str">
        <f t="shared" si="256"/>
        <v/>
      </c>
      <c r="Z236" s="70" t="str">
        <f>IF(SUMIFS(TrackingTime!H:H,TrackingTime!F:F,Timer!B236,TrackingTime!C:C,"Hovedkontoret")&gt;0,SUMIFS(TrackingTime!H:H,TrackingTime!F:F,Timer!B236,TrackingTime!C:C,"Hovedkontoret"),"")</f>
        <v/>
      </c>
      <c r="AA236" s="71" t="str">
        <f t="shared" si="227"/>
        <v/>
      </c>
      <c r="AB236" t="str">
        <f>IF(SUMIFS(TrackingTime!H:H,TrackingTime!F:F,Timer!B236,TrackingTime!C:C,Start!$F$3)&gt;0,SUMIFS(TrackingTime!H:H,TrackingTime!F:F,Timer!B236,TrackingTime!C:C,Start!$F$3),"")</f>
        <v/>
      </c>
      <c r="AC236" s="71" t="str">
        <f t="shared" si="229"/>
        <v/>
      </c>
    </row>
    <row r="237" spans="1:29" x14ac:dyDescent="0.25">
      <c r="A237" s="15"/>
      <c r="B237" s="63">
        <f t="shared" si="257"/>
        <v>46152</v>
      </c>
      <c r="C237">
        <f>IFERROR(IF(OR(L237="Fri",L237="Ferie",L237="Syk",L237="Omsorg",B237&lt;Start!$B$7),0,IF(IFERROR(MATCH(B237,Start!A$253:A$273,0),0)&gt;0,VLOOKUP(B237,Start!A$253:F$273,3,FALSE)/100*Start!$B$4,VLOOKUP(WEEKDAY(B237,2),Start!A$240:F$246,4,FALSE))),"")</f>
        <v>0</v>
      </c>
      <c r="D237">
        <f>IFERROR(IF(OR(U237="Fri",U237="Ferie",U237="Syk",U237="Omsorg",B237&lt;Start!$F$7),0,IF(IFERROR(MATCH(B237,Start!A$253:A$273,0),0)&gt;0,VLOOKUP(B237,Start!A$253:F$273,3,FALSE)/100*Start!$F$4,VLOOKUP(WEEKDAY(B237,2),Start!A$240:F$246,6,FALSE))),"")</f>
        <v>0</v>
      </c>
      <c r="E237">
        <f t="shared" ca="1" si="252"/>
        <v>0</v>
      </c>
      <c r="F237">
        <f>IFERROR(IF(YEAR(B237)=Start!$B$1,MONTH(B237),""),"")</f>
        <v>5</v>
      </c>
      <c r="G237" s="64" t="str">
        <f>IFERROR(VLOOKUP(B237,Start!A$111:B$273,2,FALSE),"")</f>
        <v/>
      </c>
      <c r="H237" s="25"/>
      <c r="I237" s="78">
        <v>0.41666666666666669</v>
      </c>
      <c r="J237" s="78">
        <v>0.41666666666666669</v>
      </c>
      <c r="K237" s="1" t="str">
        <f>IF(Start!$B$6="Ja","",IF(((J237-I237)*24)&gt;=5.5,"X",""))</f>
        <v/>
      </c>
      <c r="L237" s="1" t="str">
        <f t="shared" si="258"/>
        <v/>
      </c>
      <c r="M237" s="58"/>
      <c r="N237" s="21" t="str">
        <f t="shared" si="253"/>
        <v/>
      </c>
      <c r="O237" s="21" t="str">
        <f t="shared" si="254"/>
        <v/>
      </c>
      <c r="Q237" s="25"/>
      <c r="R237" s="78">
        <v>0.41666666666666669</v>
      </c>
      <c r="S237" s="78">
        <v>0.41666666666666669</v>
      </c>
      <c r="T237" s="1" t="str">
        <f>IF(Start!$B$6="Ja","",IF(((S237-R237)*24)&gt;=5.5,"X",""))</f>
        <v/>
      </c>
      <c r="U237" s="1" t="str">
        <f t="shared" si="259"/>
        <v/>
      </c>
      <c r="V237" s="58"/>
      <c r="W237" s="21" t="str">
        <f t="shared" si="255"/>
        <v/>
      </c>
      <c r="X237" s="21" t="str">
        <f t="shared" si="256"/>
        <v/>
      </c>
      <c r="Z237" s="70" t="str">
        <f>IF(SUMIFS(TrackingTime!H:H,TrackingTime!F:F,Timer!B237,TrackingTime!C:C,"Hovedkontoret")&gt;0,SUMIFS(TrackingTime!H:H,TrackingTime!F:F,Timer!B237,TrackingTime!C:C,"Hovedkontoret"),"")</f>
        <v/>
      </c>
      <c r="AA237" s="71" t="str">
        <f t="shared" si="227"/>
        <v/>
      </c>
      <c r="AB237" t="str">
        <f>IF(SUMIFS(TrackingTime!H:H,TrackingTime!F:F,Timer!B237,TrackingTime!C:C,Start!$F$3)&gt;0,SUMIFS(TrackingTime!H:H,TrackingTime!F:F,Timer!B237,TrackingTime!C:C,Start!$F$3),"")</f>
        <v/>
      </c>
      <c r="AC237" s="71" t="str">
        <f t="shared" si="229"/>
        <v/>
      </c>
    </row>
    <row r="238" spans="1:29" x14ac:dyDescent="0.25">
      <c r="A238" s="15"/>
      <c r="B238" s="4" t="s">
        <v>11</v>
      </c>
      <c r="C238" s="24"/>
      <c r="D238" s="24"/>
      <c r="E238" s="24">
        <f t="shared" ca="1" si="252"/>
        <v>0</v>
      </c>
      <c r="F238" s="24" t="str">
        <f>IFERROR(IF(YEAR(B238)=Start!$B$1,MONTH(B238),""),"")</f>
        <v/>
      </c>
      <c r="G238" s="64" t="str">
        <f>IFERROR(VLOOKUP(B238,Start!A$111:B$273,2,FALSE),"")</f>
        <v/>
      </c>
      <c r="H238" s="4"/>
      <c r="I238" s="4"/>
      <c r="J238" s="4"/>
      <c r="K238" s="4"/>
      <c r="L238" s="5">
        <f t="shared" ref="L238:L298" si="260">SUM($L231:$L237)</f>
        <v>0</v>
      </c>
      <c r="N238" s="24"/>
      <c r="O238" s="39">
        <f t="shared" ref="O238" si="261">SUM(O231:O237)</f>
        <v>0</v>
      </c>
      <c r="P238" s="40"/>
      <c r="Q238" s="41"/>
      <c r="R238" s="4"/>
      <c r="S238" s="4"/>
      <c r="T238" s="4"/>
      <c r="U238" s="5">
        <f t="shared" ref="U238" si="262">SUM($U231:$U237)</f>
        <v>0</v>
      </c>
      <c r="V238" s="58"/>
      <c r="W238" s="39"/>
      <c r="X238" s="39">
        <f t="shared" si="247"/>
        <v>0</v>
      </c>
      <c r="Z238" s="70" t="str">
        <f>IF(SUMIFS(TrackingTime!H:H,TrackingTime!F:F,Timer!B238,TrackingTime!C:C,"Hovedkontoret")&gt;0,SUMIFS(TrackingTime!H:H,TrackingTime!F:F,Timer!B238,TrackingTime!C:C,"Hovedkontoret"),"")</f>
        <v/>
      </c>
      <c r="AA238" s="71" t="str">
        <f t="shared" si="227"/>
        <v/>
      </c>
      <c r="AB238" t="str">
        <f>IF(SUMIFS(TrackingTime!H:H,TrackingTime!F:F,Timer!B238,TrackingTime!C:C,Start!$F$3)&gt;0,SUMIFS(TrackingTime!H:H,TrackingTime!F:F,Timer!B238,TrackingTime!C:C,Start!$F$3),"")</f>
        <v/>
      </c>
      <c r="AC238" s="71" t="str">
        <f t="shared" si="229"/>
        <v/>
      </c>
    </row>
    <row r="239" spans="1:29" x14ac:dyDescent="0.25">
      <c r="A239" s="15"/>
      <c r="B239" t="s">
        <v>90</v>
      </c>
      <c r="E239">
        <f t="shared" ca="1" si="252"/>
        <v>0</v>
      </c>
      <c r="F239" t="str">
        <f>IFERROR(IF(YEAR(B239)=Start!$B$1,MONTH(B239),""),"")</f>
        <v/>
      </c>
      <c r="G239" s="64" t="str">
        <f>IFERROR(VLOOKUP(B239,Start!A$111:B$273,2,FALSE),"")</f>
        <v/>
      </c>
      <c r="L239" s="1">
        <f t="shared" ref="L239:L299" si="263">SUMIFS(C231:C237,F231:F237,"&gt;0")</f>
        <v>0</v>
      </c>
      <c r="M239" s="1"/>
      <c r="N239" s="1"/>
      <c r="O239" s="21">
        <f t="shared" ref="O239" si="264">L239</f>
        <v>0</v>
      </c>
      <c r="P239" s="40"/>
      <c r="Q239" s="21"/>
      <c r="U239" s="1">
        <f t="shared" ref="U239" si="265">SUMIFS(D231:D237,F231:F237,"&gt;0")</f>
        <v>0</v>
      </c>
      <c r="V239" s="1"/>
      <c r="W239" s="1"/>
      <c r="X239" s="21">
        <f>U239</f>
        <v>0</v>
      </c>
      <c r="Z239" s="70" t="str">
        <f>IF(SUMIFS(TrackingTime!H:H,TrackingTime!F:F,Timer!B239,TrackingTime!C:C,"Hovedkontoret")&gt;0,SUMIFS(TrackingTime!H:H,TrackingTime!F:F,Timer!B239,TrackingTime!C:C,"Hovedkontoret"),"")</f>
        <v/>
      </c>
      <c r="AA239" s="71" t="str">
        <f t="shared" si="227"/>
        <v/>
      </c>
      <c r="AB239" t="str">
        <f>IF(SUMIFS(TrackingTime!H:H,TrackingTime!F:F,Timer!B239,TrackingTime!C:C,Start!$F$3)&gt;0,SUMIFS(TrackingTime!H:H,TrackingTime!F:F,Timer!B239,TrackingTime!C:C,Start!$F$3),"")</f>
        <v/>
      </c>
      <c r="AC239" s="71" t="str">
        <f t="shared" si="229"/>
        <v/>
      </c>
    </row>
    <row r="240" spans="1:29" x14ac:dyDescent="0.25">
      <c r="A240" s="16">
        <f>B237-B231-1</f>
        <v>5</v>
      </c>
      <c r="B240" t="s">
        <v>117</v>
      </c>
      <c r="E240">
        <f t="shared" ca="1" si="252"/>
        <v>0</v>
      </c>
      <c r="F240" t="str">
        <f>IFERROR(IF(YEAR(B240)=Start!$B$1,MONTH(B240),""),"")</f>
        <v/>
      </c>
      <c r="G240" s="64" t="str">
        <f>IFERROR(VLOOKUP(B240,Start!A$111:B$273,2,FALSE),"")</f>
        <v/>
      </c>
      <c r="L240" s="77">
        <f t="shared" ref="L240:L300" ca="1" si="266">L238-L239*(IF(NETWORKDAYS($B231,TODAY())&lt;0,0,IF(NETWORKDAYS($B231,TODAY())&lt;=$A240,NETWORKDAYS($B231,TODAY()),$A240)))/$A240</f>
        <v>0</v>
      </c>
      <c r="O240" s="21">
        <f t="shared" ref="O240" si="267">O238-O239</f>
        <v>0</v>
      </c>
      <c r="P240" s="21"/>
      <c r="Q240" s="21"/>
      <c r="U240" s="1">
        <f t="shared" ref="U240" ca="1" si="268">U238-U239*(IF(NETWORKDAYS($B231,TODAY())&lt;0,0,IF(NETWORKDAYS($B231,TODAY())&lt;=$A240,NETWORKDAYS($B231,TODAY()),$A240)))/$A240</f>
        <v>0</v>
      </c>
      <c r="V240" s="58"/>
      <c r="W240" s="21"/>
      <c r="X240" s="21">
        <f>X238-X239</f>
        <v>0</v>
      </c>
      <c r="Z240" s="70" t="str">
        <f>IF(SUMIFS(TrackingTime!H:H,TrackingTime!F:F,Timer!B240,TrackingTime!C:C,"Hovedkontoret")&gt;0,SUMIFS(TrackingTime!H:H,TrackingTime!F:F,Timer!B240,TrackingTime!C:C,"Hovedkontoret"),"")</f>
        <v/>
      </c>
      <c r="AA240" s="71" t="str">
        <f t="shared" si="227"/>
        <v/>
      </c>
      <c r="AB240" t="str">
        <f>IF(SUMIFS(TrackingTime!H:H,TrackingTime!F:F,Timer!B240,TrackingTime!C:C,Start!$F$3)&gt;0,SUMIFS(TrackingTime!H:H,TrackingTime!F:F,Timer!B240,TrackingTime!C:C,Start!$F$3),"")</f>
        <v/>
      </c>
      <c r="AC240" s="71" t="str">
        <f t="shared" si="229"/>
        <v/>
      </c>
    </row>
    <row r="241" spans="1:29" x14ac:dyDescent="0.25">
      <c r="A241" s="15"/>
      <c r="E241">
        <f t="shared" ca="1" si="252"/>
        <v>1</v>
      </c>
      <c r="F241" t="str">
        <f>IFERROR(IF(YEAR(B241)=Start!$B$1,MONTH(B241),""),"")</f>
        <v/>
      </c>
      <c r="G241" s="64" t="str">
        <f>IFERROR(VLOOKUP(B241,Start!A$111:B$273,2,FALSE),"")</f>
        <v/>
      </c>
      <c r="O241" s="2"/>
      <c r="P241" s="2"/>
      <c r="U241" s="1"/>
      <c r="V241" s="7"/>
      <c r="X241" s="2"/>
      <c r="Z241" s="70" t="str">
        <f>IF(SUMIFS(TrackingTime!H:H,TrackingTime!F:F,Timer!B241,TrackingTime!C:C,"Hovedkontoret")&gt;0,SUMIFS(TrackingTime!H:H,TrackingTime!F:F,Timer!B241,TrackingTime!C:C,"Hovedkontoret"),"")</f>
        <v/>
      </c>
      <c r="AA241" s="71" t="str">
        <f t="shared" si="227"/>
        <v/>
      </c>
      <c r="AB241" t="str">
        <f>IF(SUMIFS(TrackingTime!H:H,TrackingTime!F:F,Timer!B241,TrackingTime!C:C,Start!$F$3)&gt;0,SUMIFS(TrackingTime!H:H,TrackingTime!F:F,Timer!B241,TrackingTime!C:C,Start!$F$3),"")</f>
        <v/>
      </c>
      <c r="AC241" s="71" t="str">
        <f t="shared" si="229"/>
        <v/>
      </c>
    </row>
    <row r="242" spans="1:29" x14ac:dyDescent="0.25">
      <c r="A242" s="2" t="s">
        <v>82</v>
      </c>
      <c r="B242" s="14" t="s">
        <v>83</v>
      </c>
      <c r="E242">
        <f t="shared" ca="1" si="252"/>
        <v>0</v>
      </c>
      <c r="F242" t="str">
        <f>IFERROR(IF(YEAR(B242)=Start!$B$1,MONTH(B242),""),"")</f>
        <v/>
      </c>
      <c r="G242" s="64" t="str">
        <f>IFERROR(VLOOKUP(B242,Start!A$111:B$273,2,FALSE),"")</f>
        <v/>
      </c>
      <c r="H242" s="2" t="s">
        <v>86</v>
      </c>
      <c r="I242" s="2" t="s">
        <v>125</v>
      </c>
      <c r="J242" s="2" t="s">
        <v>126</v>
      </c>
      <c r="K242" s="2" t="s">
        <v>127</v>
      </c>
      <c r="L242" s="3" t="s">
        <v>87</v>
      </c>
      <c r="M242" s="6"/>
      <c r="N242" s="2" t="s">
        <v>88</v>
      </c>
      <c r="O242" s="2" t="s">
        <v>89</v>
      </c>
      <c r="P242" s="2"/>
      <c r="Q242" s="2" t="s">
        <v>86</v>
      </c>
      <c r="R242" s="2" t="s">
        <v>125</v>
      </c>
      <c r="S242" s="2" t="s">
        <v>126</v>
      </c>
      <c r="T242" s="2" t="s">
        <v>127</v>
      </c>
      <c r="U242" s="3" t="s">
        <v>87</v>
      </c>
      <c r="V242" s="6"/>
      <c r="W242" s="2" t="s">
        <v>88</v>
      </c>
      <c r="X242" s="2" t="s">
        <v>89</v>
      </c>
      <c r="Z242" s="70" t="str">
        <f>IF(SUMIFS(TrackingTime!H:H,TrackingTime!F:F,Timer!B242,TrackingTime!C:C,"Hovedkontoret")&gt;0,SUMIFS(TrackingTime!H:H,TrackingTime!F:F,Timer!B242,TrackingTime!C:C,"Hovedkontoret"),"")</f>
        <v/>
      </c>
      <c r="AA242" s="71" t="str">
        <f t="shared" si="227"/>
        <v/>
      </c>
      <c r="AB242" t="str">
        <f>IF(SUMIFS(TrackingTime!H:H,TrackingTime!F:F,Timer!B242,TrackingTime!C:C,Start!$F$3)&gt;0,SUMIFS(TrackingTime!H:H,TrackingTime!F:F,Timer!B242,TrackingTime!C:C,Start!$F$3),"")</f>
        <v/>
      </c>
      <c r="AC242" s="71" t="str">
        <f t="shared" si="229"/>
        <v/>
      </c>
    </row>
    <row r="243" spans="1:29" x14ac:dyDescent="0.25">
      <c r="A243" s="15">
        <f>WEEKNUM(B243,21)</f>
        <v>20</v>
      </c>
      <c r="B243" s="63">
        <f>B237+(DAY(1))</f>
        <v>46153</v>
      </c>
      <c r="C243" t="str">
        <f>IFERROR(IF(OR(L243="Fri",L243="Ferie",L243="Syk",L243="Omsorg",B243&lt;Start!$B$7),0,IF(IFERROR(MATCH(B243,Start!A$253:A$273,0),0)&gt;0,VLOOKUP(B243,Start!A$253:F$273,3,FALSE)/100*Start!$B$4,VLOOKUP(WEEKDAY(B243,2),Start!A$240:F$246,4,FALSE))),"")</f>
        <v/>
      </c>
      <c r="D243" t="str">
        <f>IFERROR(IF(OR(U243="Fri",U243="Ferie",U243="Syk",U243="Omsorg",B243&lt;Start!$F$7),0,IF(IFERROR(MATCH(B243,Start!A$253:A$273,0),0)&gt;0,VLOOKUP(B243,Start!A$253:F$273,3,FALSE)/100*Start!$F$4,VLOOKUP(WEEKDAY(B243,2),Start!A$240:F$246,6,FALSE))),"")</f>
        <v/>
      </c>
      <c r="E243">
        <f t="shared" ca="1" si="252"/>
        <v>0</v>
      </c>
      <c r="F243">
        <f>IFERROR(IF(YEAR(B243)=Start!$B$1,MONTH(B243),""),"")</f>
        <v>5</v>
      </c>
      <c r="G243" s="64" t="str">
        <f>IFERROR(VLOOKUP(B243,Start!A$111:B$273,2,FALSE),"")</f>
        <v/>
      </c>
      <c r="H243" s="21"/>
      <c r="I243" s="78">
        <v>0.33333333333333331</v>
      </c>
      <c r="J243" s="78">
        <v>0.33333333333333331</v>
      </c>
      <c r="K243" s="1" t="str">
        <f>IF(Start!$B$6="Ja","",IF(((J243-I243)*24)&gt;=5.5,"X",""))</f>
        <v/>
      </c>
      <c r="L243" s="1" t="str">
        <f>IF(_xlfn.IFNA(MATCH($A243,Start!$H$3:$H$11,0),0)&gt;0,"Ferie",IFERROR(IF(VLOOKUP(B243,Start!A$165:B$234,2,FALSE)&gt;0,"Fri",0),IF(AND((J243-I243)=0,Z243=""),"",MAX((IF(K243="X",(J243-I243)*24-0.5,(J243-I243)*24)),Z243))))</f>
        <v/>
      </c>
      <c r="M243" s="58"/>
      <c r="N243" s="21" t="str">
        <f t="shared" ref="N243:N249" si="269">IF(H243=0,"",H243)</f>
        <v/>
      </c>
      <c r="O243" s="21" t="str">
        <f t="shared" ref="O243:O249" si="270">IF(L243=0,"",L243)</f>
        <v/>
      </c>
      <c r="P243" s="2"/>
      <c r="Q243" s="21"/>
      <c r="R243" s="78">
        <v>0.33333333333333331</v>
      </c>
      <c r="S243" s="78">
        <v>0.33333333333333331</v>
      </c>
      <c r="T243" s="1" t="str">
        <f>IF(Start!$B$6="Ja","",IF(((S243-R243)*24)&gt;=5.5,"X",""))</f>
        <v/>
      </c>
      <c r="U243" s="1" t="str">
        <f>IF(_xlfn.IFNA(MATCH($A$15,Start!$H$3:$H$11,0),0)&gt;0,"Ferie",(IF(L243="fri","Fri",(IF(L243="syk","Syk",IF(L243="Ferie","Ferie",IF(AND((S243-R243)=0,AB243=""),"",MAX((IF(T243="X",(S243-R243)*24-0.5,(S243-R243)*24)),AB243))))))))</f>
        <v/>
      </c>
      <c r="V243" s="58"/>
      <c r="W243" s="21" t="str">
        <f t="shared" ref="W243:W249" si="271">IF(Q243=0,"",Q243)</f>
        <v/>
      </c>
      <c r="X243" s="21" t="str">
        <f t="shared" ref="X243:X249" si="272">IF(U243=0,"",U243)</f>
        <v/>
      </c>
      <c r="Z243" s="70" t="str">
        <f>IF(SUMIFS(TrackingTime!H:H,TrackingTime!F:F,Timer!B243,TrackingTime!C:C,"Hovedkontoret")&gt;0,SUMIFS(TrackingTime!H:H,TrackingTime!F:F,Timer!B243,TrackingTime!C:C,"Hovedkontoret"),"")</f>
        <v/>
      </c>
      <c r="AA243" s="71" t="str">
        <f t="shared" si="227"/>
        <v/>
      </c>
      <c r="AB243" t="str">
        <f>IF(SUMIFS(TrackingTime!H:H,TrackingTime!F:F,Timer!B243,TrackingTime!C:C,Start!$F$3)&gt;0,SUMIFS(TrackingTime!H:H,TrackingTime!F:F,Timer!B243,TrackingTime!C:C,Start!$F$3),"")</f>
        <v/>
      </c>
      <c r="AC243" s="71" t="str">
        <f t="shared" si="229"/>
        <v/>
      </c>
    </row>
    <row r="244" spans="1:29" x14ac:dyDescent="0.25">
      <c r="A244" s="15"/>
      <c r="B244" s="63">
        <f t="shared" ref="B244:B249" si="273">B243+DAY(1)</f>
        <v>46154</v>
      </c>
      <c r="C244" t="str">
        <f>IFERROR(IF(OR(L244="Fri",L244="Ferie",L244="Syk",L244="Omsorg",B244&lt;Start!$B$7),0,IF(IFERROR(MATCH(B244,Start!A$253:A$273,0),0)&gt;0,VLOOKUP(B244,Start!A$253:F$273,3,FALSE)/100*Start!$B$4,VLOOKUP(WEEKDAY(B244,2),Start!A$240:F$246,4,FALSE))),"")</f>
        <v/>
      </c>
      <c r="D244" t="str">
        <f>IFERROR(IF(OR(U244="Fri",U244="Ferie",U244="Syk",U244="Omsorg",B244&lt;Start!$F$7),0,IF(IFERROR(MATCH(B244,Start!A$253:A$273,0),0)&gt;0,VLOOKUP(B244,Start!A$253:F$273,3,FALSE)/100*Start!$F$4,VLOOKUP(WEEKDAY(B244,2),Start!A$240:F$246,6,FALSE))),"")</f>
        <v/>
      </c>
      <c r="E244">
        <f t="shared" ca="1" si="252"/>
        <v>0</v>
      </c>
      <c r="F244">
        <f>IFERROR(IF(YEAR(B244)=Start!$B$1,MONTH(B244),""),"")</f>
        <v>5</v>
      </c>
      <c r="G244" s="64" t="str">
        <f>IFERROR(VLOOKUP(B244,Start!A$111:B$273,2,FALSE),"")</f>
        <v/>
      </c>
      <c r="H244" s="21"/>
      <c r="I244" s="78">
        <v>0.33333333333333331</v>
      </c>
      <c r="J244" s="78">
        <v>0.33333333333333331</v>
      </c>
      <c r="K244" s="1" t="str">
        <f>IF(Start!$B$6="Ja","",IF(((J244-I244)*24)&gt;=5.5,"X",""))</f>
        <v/>
      </c>
      <c r="L244" s="1" t="str">
        <f>IF(_xlfn.IFNA(MATCH($A243,Start!$H$3:$H$11,0),0)&gt;0,"Ferie",IFERROR(IF(VLOOKUP($B244,Start!$A$165:$B$234,2,FALSE)&gt;0,"Fri",0),IF(AND((J244-I244)=0,Z244=""),"",MAX((IF(K244="X",(J244-I244)*24-0.5,(J244-I244)*24)),Z244))))</f>
        <v/>
      </c>
      <c r="M244" s="58"/>
      <c r="N244" s="21" t="str">
        <f t="shared" si="269"/>
        <v/>
      </c>
      <c r="O244" s="21" t="str">
        <f t="shared" si="270"/>
        <v/>
      </c>
      <c r="P244" s="2"/>
      <c r="Q244" s="21"/>
      <c r="R244" s="78">
        <v>0.33333333333333331</v>
      </c>
      <c r="S244" s="78">
        <v>0.33333333333333331</v>
      </c>
      <c r="T244" s="1" t="str">
        <f>IF(Start!$B$6="Ja","",IF(((S244-R244)*24)&gt;=5.5,"X",""))</f>
        <v/>
      </c>
      <c r="U244" s="1" t="str">
        <f>IF(_xlfn.IFNA(MATCH($A$15,Start!$H$3:$H$11,0),0)&gt;0,"Ferie",(IF(L244="fri","Fri",(IF(L244="syk","Syk",IF(L244="Ferie","Ferie",IF(AND((S244-R244)=0,AB244=""),"",MAX((IF(T244="X",(S244-R244)*24-0.5,(S244-R244)*24)),AB244))))))))</f>
        <v/>
      </c>
      <c r="V244" s="58"/>
      <c r="W244" s="21" t="str">
        <f t="shared" si="271"/>
        <v/>
      </c>
      <c r="X244" s="21" t="str">
        <f t="shared" si="272"/>
        <v/>
      </c>
      <c r="Z244" s="70" t="str">
        <f>IF(SUMIFS(TrackingTime!H:H,TrackingTime!F:F,Timer!B244,TrackingTime!C:C,"Hovedkontoret")&gt;0,SUMIFS(TrackingTime!H:H,TrackingTime!F:F,Timer!B244,TrackingTime!C:C,"Hovedkontoret"),"")</f>
        <v/>
      </c>
      <c r="AA244" s="71" t="str">
        <f t="shared" si="227"/>
        <v/>
      </c>
      <c r="AB244" t="str">
        <f>IF(SUMIFS(TrackingTime!H:H,TrackingTime!F:F,Timer!B244,TrackingTime!C:C,Start!$F$3)&gt;0,SUMIFS(TrackingTime!H:H,TrackingTime!F:F,Timer!B244,TrackingTime!C:C,Start!$F$3),"")</f>
        <v/>
      </c>
      <c r="AC244" s="71" t="str">
        <f t="shared" si="229"/>
        <v/>
      </c>
    </row>
    <row r="245" spans="1:29" x14ac:dyDescent="0.25">
      <c r="A245" s="15"/>
      <c r="B245" s="63">
        <f t="shared" si="273"/>
        <v>46155</v>
      </c>
      <c r="C245" t="str">
        <f>IFERROR(IF(OR(L245="Fri",L245="Ferie",L245="Syk",L245="Omsorg",B245&lt;Start!$B$7),0,IF(IFERROR(MATCH(B245,Start!A$253:A$273,0),0)&gt;0,VLOOKUP(B245,Start!A$253:F$273,3,FALSE)/100*Start!$B$4,VLOOKUP(WEEKDAY(B245,2),Start!A$240:F$246,4,FALSE))),"")</f>
        <v/>
      </c>
      <c r="D245" t="str">
        <f>IFERROR(IF(OR(U245="Fri",U245="Ferie",U245="Syk",U245="Omsorg",B245&lt;Start!$F$7),0,IF(IFERROR(MATCH(B245,Start!A$253:A$273,0),0)&gt;0,VLOOKUP(B245,Start!A$253:F$273,3,FALSE)/100*Start!$F$4,VLOOKUP(WEEKDAY(B245,2),Start!A$240:F$246,6,FALSE))),"")</f>
        <v/>
      </c>
      <c r="E245">
        <f t="shared" ca="1" si="252"/>
        <v>0</v>
      </c>
      <c r="F245">
        <f>IFERROR(IF(YEAR(B245)=Start!$B$1,MONTH(B245),""),"")</f>
        <v>5</v>
      </c>
      <c r="G245" s="64" t="str">
        <f>IFERROR(VLOOKUP(B245,Start!A$111:B$273,2,FALSE),"")</f>
        <v/>
      </c>
      <c r="H245" s="21"/>
      <c r="I245" s="78">
        <v>0.33333333333333331</v>
      </c>
      <c r="J245" s="78">
        <v>0.33333333333333331</v>
      </c>
      <c r="K245" s="1" t="str">
        <f>IF(Start!$B$6="Ja","",IF(((J245-I245)*24)&gt;=5.5,"X",""))</f>
        <v/>
      </c>
      <c r="L245" s="1" t="str">
        <f>IF(_xlfn.IFNA(MATCH($A243,Start!$H$3:$H$11,0),0)&gt;0,"Ferie",IFERROR(IF(VLOOKUP(B245,Start!A$165:B$234,2,FALSE)&gt;0,"Fri",0),IF(AND((J245-I245)=0,Z245=""),"",MAX((IF(K245="X",(J245-I245)*24-0.5,(J245-I245)*24)),Z245))))</f>
        <v/>
      </c>
      <c r="M245" s="58"/>
      <c r="N245" s="21" t="str">
        <f t="shared" si="269"/>
        <v/>
      </c>
      <c r="O245" s="21" t="str">
        <f t="shared" si="270"/>
        <v/>
      </c>
      <c r="P245" s="2"/>
      <c r="Q245" s="21"/>
      <c r="R245" s="78">
        <v>0.33333333333333331</v>
      </c>
      <c r="S245" s="78">
        <v>0.33333333333333331</v>
      </c>
      <c r="T245" s="1" t="str">
        <f>IF(Start!$B$6="Ja","",IF(((S245-R245)*24)&gt;=5.5,"X",""))</f>
        <v/>
      </c>
      <c r="U245" s="1" t="str">
        <f>IF(_xlfn.IFNA(MATCH($A$15,Start!$H$3:$H$11,0),0)&gt;0,"Ferie",(IF(L245="fri","Fri",(IF(L245="syk","Syk",IF(L245="Ferie","Ferie",IF(AND((S245-R245)=0,AB245=""),"",MAX((IF(T245="X",(S245-R245)*24-0.5,(S245-R245)*24)),AB245))))))))</f>
        <v/>
      </c>
      <c r="V245" s="58"/>
      <c r="W245" s="21" t="str">
        <f t="shared" si="271"/>
        <v/>
      </c>
      <c r="X245" s="21" t="str">
        <f t="shared" si="272"/>
        <v/>
      </c>
      <c r="Z245" s="70" t="str">
        <f>IF(SUMIFS(TrackingTime!H:H,TrackingTime!F:F,Timer!B245,TrackingTime!C:C,"Hovedkontoret")&gt;0,SUMIFS(TrackingTime!H:H,TrackingTime!F:F,Timer!B245,TrackingTime!C:C,"Hovedkontoret"),"")</f>
        <v/>
      </c>
      <c r="AA245" s="71" t="str">
        <f t="shared" si="227"/>
        <v/>
      </c>
      <c r="AB245" t="str">
        <f>IF(SUMIFS(TrackingTime!H:H,TrackingTime!F:F,Timer!B245,TrackingTime!C:C,Start!$F$3)&gt;0,SUMIFS(TrackingTime!H:H,TrackingTime!F:F,Timer!B245,TrackingTime!C:C,Start!$F$3),"")</f>
        <v/>
      </c>
      <c r="AC245" s="71" t="str">
        <f t="shared" si="229"/>
        <v/>
      </c>
    </row>
    <row r="246" spans="1:29" x14ac:dyDescent="0.25">
      <c r="A246" s="15"/>
      <c r="B246" s="63">
        <f t="shared" si="273"/>
        <v>46156</v>
      </c>
      <c r="C246">
        <f>IFERROR(IF(OR(L246="Fri",L246="Ferie",L246="Syk",L246="Omsorg",B246&lt;Start!$B$7),0,IF(IFERROR(MATCH(B246,Start!A$253:A$273,0),0)&gt;0,VLOOKUP(B246,Start!A$253:F$273,3,FALSE)/100*Start!$B$4,VLOOKUP(WEEKDAY(B246,2),Start!A$240:F$246,4,FALSE))),"")</f>
        <v>0</v>
      </c>
      <c r="D246">
        <f>IFERROR(IF(OR(U246="Fri",U246="Ferie",U246="Syk",U246="Omsorg",B246&lt;Start!$F$7),0,IF(IFERROR(MATCH(B246,Start!A$253:A$273,0),0)&gt;0,VLOOKUP(B246,Start!A$253:F$273,3,FALSE)/100*Start!$F$4,VLOOKUP(WEEKDAY(B246,2),Start!A$240:F$246,6,FALSE))),"")</f>
        <v>0</v>
      </c>
      <c r="E246">
        <f t="shared" ca="1" si="252"/>
        <v>0</v>
      </c>
      <c r="F246">
        <f>IFERROR(IF(YEAR(B246)=Start!$B$1,MONTH(B246),""),"")</f>
        <v>5</v>
      </c>
      <c r="G246" s="64" t="str">
        <f>IFERROR(VLOOKUP(B246,Start!A$111:B$273,2,FALSE),"")</f>
        <v>Kristi Himmelfartsdag</v>
      </c>
      <c r="H246" s="21"/>
      <c r="I246" s="78">
        <v>0.33333333333333331</v>
      </c>
      <c r="J246" s="78">
        <v>0.33333333333333331</v>
      </c>
      <c r="K246" s="1" t="str">
        <f>IF(Start!$B$6="Ja","",IF(((J246-I246)*24)&gt;=5.5,"X",""))</f>
        <v/>
      </c>
      <c r="L246" s="1" t="str">
        <f>IF(_xlfn.IFNA(MATCH($A243,Start!$H$3:$H$11,0),0)&gt;0,"Ferie",IFERROR(IF(VLOOKUP(B246,Start!A$165:B$234,2,FALSE)&gt;0,"Fri",0),IF(AND((J246-I246)=0,Z246=""),"",MAX((IF(K246="X",(J246-I246)*24-0.5,(J246-I246)*24)),Z246))))</f>
        <v>Fri</v>
      </c>
      <c r="M246" s="58"/>
      <c r="N246" s="21" t="str">
        <f t="shared" si="269"/>
        <v/>
      </c>
      <c r="O246" s="21" t="str">
        <f t="shared" si="270"/>
        <v>Fri</v>
      </c>
      <c r="P246" s="2"/>
      <c r="Q246" s="21"/>
      <c r="R246" s="78">
        <v>0.33333333333333331</v>
      </c>
      <c r="S246" s="78">
        <v>0.33333333333333331</v>
      </c>
      <c r="T246" s="1" t="str">
        <f>IF(Start!$B$6="Ja","",IF(((S246-R246)*24)&gt;=5.5,"X",""))</f>
        <v/>
      </c>
      <c r="U246" s="1" t="str">
        <f>IF(_xlfn.IFNA(MATCH($A$15,Start!$H$3:$H$11,0),0)&gt;0,"Ferie",(IF(L246="fri","Fri",(IF(L246="syk","Syk",IF(L246="Ferie","Ferie",IF(AND((S246-R246)=0,AB246=""),"",MAX((IF(T246="X",(S246-R246)*24-0.5,(S246-R246)*24)),AB246))))))))</f>
        <v>Fri</v>
      </c>
      <c r="V246" s="58"/>
      <c r="W246" s="21" t="str">
        <f t="shared" si="271"/>
        <v/>
      </c>
      <c r="X246" s="21" t="str">
        <f t="shared" si="272"/>
        <v>Fri</v>
      </c>
      <c r="Z246" s="70" t="str">
        <f>IF(SUMIFS(TrackingTime!H:H,TrackingTime!F:F,Timer!B246,TrackingTime!C:C,"Hovedkontoret")&gt;0,SUMIFS(TrackingTime!H:H,TrackingTime!F:F,Timer!B246,TrackingTime!C:C,"Hovedkontoret"),"")</f>
        <v/>
      </c>
      <c r="AA246" s="71" t="str">
        <f t="shared" si="227"/>
        <v/>
      </c>
      <c r="AB246" t="str">
        <f>IF(SUMIFS(TrackingTime!H:H,TrackingTime!F:F,Timer!B246,TrackingTime!C:C,Start!$F$3)&gt;0,SUMIFS(TrackingTime!H:H,TrackingTime!F:F,Timer!B246,TrackingTime!C:C,Start!$F$3),"")</f>
        <v/>
      </c>
      <c r="AC246" s="71" t="str">
        <f t="shared" si="229"/>
        <v/>
      </c>
    </row>
    <row r="247" spans="1:29" x14ac:dyDescent="0.25">
      <c r="A247" s="15"/>
      <c r="B247" s="63">
        <f t="shared" si="273"/>
        <v>46157</v>
      </c>
      <c r="C247" t="str">
        <f>IFERROR(IF(OR(L247="Fri",L247="Ferie",L247="Syk",L247="Omsorg",B247&lt;Start!$B$7),0,IF(IFERROR(MATCH(B247,Start!A$253:A$273,0),0)&gt;0,VLOOKUP(B247,Start!A$253:F$273,3,FALSE)/100*Start!$B$4,VLOOKUP(WEEKDAY(B247,2),Start!A$240:F$246,4,FALSE))),"")</f>
        <v/>
      </c>
      <c r="D247" t="str">
        <f>IFERROR(IF(OR(U247="Fri",U247="Ferie",U247="Syk",U247="Omsorg",B247&lt;Start!$F$7),0,IF(IFERROR(MATCH(B247,Start!A$253:A$273,0),0)&gt;0,VLOOKUP(B247,Start!A$253:F$273,3,FALSE)/100*Start!$F$4,VLOOKUP(WEEKDAY(B247,2),Start!A$240:F$246,6,FALSE))),"")</f>
        <v/>
      </c>
      <c r="E247">
        <f t="shared" ca="1" si="252"/>
        <v>0</v>
      </c>
      <c r="F247">
        <f>IFERROR(IF(YEAR(B247)=Start!$B$1,MONTH(B247),""),"")</f>
        <v>5</v>
      </c>
      <c r="G247" s="64" t="str">
        <f>IFERROR(VLOOKUP(B247,Start!A$111:B$273,2,FALSE),"")</f>
        <v/>
      </c>
      <c r="H247" s="21"/>
      <c r="I247" s="78">
        <v>0.33333333333333331</v>
      </c>
      <c r="J247" s="78">
        <v>0.33333333333333331</v>
      </c>
      <c r="K247" s="1" t="str">
        <f>IF(Start!$B$6="Ja","",IF(((J247-I247)*24)&gt;=5.5,"X",""))</f>
        <v/>
      </c>
      <c r="L247" s="1" t="str">
        <f>IF(_xlfn.IFNA(MATCH($A243,Start!$H$3:$H$11,0),0)&gt;0,"Ferie",IFERROR(IF(VLOOKUP(B247,Start!A$165:B$234,2,FALSE)&gt;0,"Fri",0),IF(AND((J247-I247)=0,Z247=""),"",MAX((IF(K247="X",(J247-I247)*24-0.5,(J247-I247)*24)),Z247))))</f>
        <v/>
      </c>
      <c r="M247" s="58"/>
      <c r="N247" s="21" t="str">
        <f t="shared" si="269"/>
        <v/>
      </c>
      <c r="O247" s="21" t="str">
        <f t="shared" si="270"/>
        <v/>
      </c>
      <c r="P247" s="2"/>
      <c r="Q247" s="21"/>
      <c r="R247" s="78">
        <v>0.33333333333333331</v>
      </c>
      <c r="S247" s="78">
        <v>0.33333333333333331</v>
      </c>
      <c r="T247" s="1" t="str">
        <f>IF(Start!$B$6="Ja","",IF(((S247-R247)*24)&gt;=5.5,"X",""))</f>
        <v/>
      </c>
      <c r="U247" s="1" t="str">
        <f>IF(_xlfn.IFNA(MATCH($A$15,Start!$H$3:$H$11,0),0)&gt;0,"Ferie",(IF(L247="fri","Fri",(IF(L247="syk","Syk",IF(L247="Ferie","Ferie",IF(AND((S247-R247)=0,AB247=""),"",MAX((IF(T247="X",(S247-R247)*24-0.5,(S247-R247)*24)),AB247))))))))</f>
        <v/>
      </c>
      <c r="V247" s="58"/>
      <c r="W247" s="21" t="str">
        <f t="shared" si="271"/>
        <v/>
      </c>
      <c r="X247" s="21" t="str">
        <f t="shared" si="272"/>
        <v/>
      </c>
      <c r="Z247" s="70" t="str">
        <f>IF(SUMIFS(TrackingTime!H:H,TrackingTime!F:F,Timer!B247,TrackingTime!C:C,"Hovedkontoret")&gt;0,SUMIFS(TrackingTime!H:H,TrackingTime!F:F,Timer!B247,TrackingTime!C:C,"Hovedkontoret"),"")</f>
        <v/>
      </c>
      <c r="AA247" s="71" t="str">
        <f t="shared" si="227"/>
        <v/>
      </c>
      <c r="AB247" t="str">
        <f>IF(SUMIFS(TrackingTime!H:H,TrackingTime!F:F,Timer!B247,TrackingTime!C:C,Start!$F$3)&gt;0,SUMIFS(TrackingTime!H:H,TrackingTime!F:F,Timer!B247,TrackingTime!C:C,Start!$F$3),"")</f>
        <v/>
      </c>
      <c r="AC247" s="71" t="str">
        <f t="shared" si="229"/>
        <v/>
      </c>
    </row>
    <row r="248" spans="1:29" x14ac:dyDescent="0.25">
      <c r="A248" s="15"/>
      <c r="B248" s="63">
        <f t="shared" si="273"/>
        <v>46158</v>
      </c>
      <c r="C248">
        <f>IFERROR(IF(OR(L248="Fri",L248="Ferie",L248="Syk",L248="Omsorg",B248&lt;Start!$B$7),0,IF(IFERROR(MATCH(B248,Start!A$253:A$273,0),0)&gt;0,VLOOKUP(B248,Start!A$253:F$273,3,FALSE)/100*Start!$B$4,VLOOKUP(WEEKDAY(B248,2),Start!A$240:F$246,4,FALSE))),"")</f>
        <v>0</v>
      </c>
      <c r="D248">
        <f>IFERROR(IF(OR(U248="Fri",U248="Ferie",U248="Syk",U248="Omsorg",B248&lt;Start!$F$7),0,IF(IFERROR(MATCH(B248,Start!A$253:A$273,0),0)&gt;0,VLOOKUP(B248,Start!A$253:F$273,3,FALSE)/100*Start!$F$4,VLOOKUP(WEEKDAY(B248,2),Start!A$240:F$246,6,FALSE))),"")</f>
        <v>0</v>
      </c>
      <c r="E248">
        <f t="shared" ca="1" si="252"/>
        <v>0</v>
      </c>
      <c r="F248">
        <f>IFERROR(IF(YEAR(B248)=Start!$B$1,MONTH(B248),""),"")</f>
        <v>5</v>
      </c>
      <c r="G248" s="64" t="str">
        <f>IFERROR(VLOOKUP(B248,Start!A$111:B$273,2,FALSE),"")</f>
        <v/>
      </c>
      <c r="H248" s="21"/>
      <c r="I248" s="78">
        <v>0.41666666666666669</v>
      </c>
      <c r="J248" s="78">
        <v>0.41666666666666669</v>
      </c>
      <c r="K248" s="1" t="str">
        <f>IF(Start!$B$6="Ja","",IF(((J248-I248)*24)&gt;=5.5,"X",""))</f>
        <v/>
      </c>
      <c r="L248" s="1" t="str">
        <f t="shared" ref="L248:L249" si="274">IF(AND((J248-I248)=0,Z248=""),"",MAX((IF(K248="X",(J248-I248)*24-0.5,(J248-I248)*24)),Z248))</f>
        <v/>
      </c>
      <c r="M248" s="58"/>
      <c r="N248" s="21" t="str">
        <f t="shared" si="269"/>
        <v/>
      </c>
      <c r="O248" s="21" t="str">
        <f t="shared" si="270"/>
        <v/>
      </c>
      <c r="P248" s="2"/>
      <c r="Q248" s="21"/>
      <c r="R248" s="78">
        <v>0.41666666666666669</v>
      </c>
      <c r="S248" s="78">
        <v>0.41666666666666669</v>
      </c>
      <c r="T248" s="1" t="str">
        <f>IF(Start!$B$6="Ja","",IF(((S248-R248)*24)&gt;=5.5,"X",""))</f>
        <v/>
      </c>
      <c r="U248" s="1" t="str">
        <f t="shared" ref="U248:U249" si="275">IF(AND((S248-R248)=0,AB248=""),"",MAX((IF(T248="X",(S248-R248)*24-0.5,(S248-R248)*24)),AB248))</f>
        <v/>
      </c>
      <c r="V248" s="58"/>
      <c r="W248" s="21" t="str">
        <f t="shared" si="271"/>
        <v/>
      </c>
      <c r="X248" s="21" t="str">
        <f t="shared" si="272"/>
        <v/>
      </c>
      <c r="Z248" s="70" t="str">
        <f>IF(SUMIFS(TrackingTime!H:H,TrackingTime!F:F,Timer!B248,TrackingTime!C:C,"Hovedkontoret")&gt;0,SUMIFS(TrackingTime!H:H,TrackingTime!F:F,Timer!B248,TrackingTime!C:C,"Hovedkontoret"),"")</f>
        <v/>
      </c>
      <c r="AA248" s="71" t="str">
        <f t="shared" si="227"/>
        <v/>
      </c>
      <c r="AB248" t="str">
        <f>IF(SUMIFS(TrackingTime!H:H,TrackingTime!F:F,Timer!B248,TrackingTime!C:C,Start!$F$3)&gt;0,SUMIFS(TrackingTime!H:H,TrackingTime!F:F,Timer!B248,TrackingTime!C:C,Start!$F$3),"")</f>
        <v/>
      </c>
      <c r="AC248" s="71" t="str">
        <f t="shared" si="229"/>
        <v/>
      </c>
    </row>
    <row r="249" spans="1:29" x14ac:dyDescent="0.25">
      <c r="A249" s="15"/>
      <c r="B249" s="63">
        <f t="shared" si="273"/>
        <v>46159</v>
      </c>
      <c r="C249">
        <f>IFERROR(IF(OR(L249="Fri",L249="Ferie",L249="Syk",L249="Omsorg",B249&lt;Start!$B$7),0,IF(IFERROR(MATCH(B249,Start!A$253:A$273,0),0)&gt;0,VLOOKUP(B249,Start!A$253:F$273,3,FALSE)/100*Start!$B$4,VLOOKUP(WEEKDAY(B249,2),Start!A$240:F$246,4,FALSE))),"")</f>
        <v>0</v>
      </c>
      <c r="D249">
        <f>IFERROR(IF(OR(U249="Fri",U249="Ferie",U249="Syk",U249="Omsorg",B249&lt;Start!$F$7),0,IF(IFERROR(MATCH(B249,Start!A$253:A$273,0),0)&gt;0,VLOOKUP(B249,Start!A$253:F$273,3,FALSE)/100*Start!$F$4,VLOOKUP(WEEKDAY(B249,2),Start!A$240:F$246,6,FALSE))),"")</f>
        <v>0</v>
      </c>
      <c r="E249">
        <f t="shared" ca="1" si="252"/>
        <v>0</v>
      </c>
      <c r="F249">
        <f>IFERROR(IF(YEAR(B249)=Start!$B$1,MONTH(B249),""),"")</f>
        <v>5</v>
      </c>
      <c r="G249" s="64" t="str">
        <f>IFERROR(VLOOKUP(B249,Start!A$111:B$273,2,FALSE),"")</f>
        <v>Grunnlovsdag</v>
      </c>
      <c r="H249" s="25"/>
      <c r="I249" s="78">
        <v>0.41666666666666669</v>
      </c>
      <c r="J249" s="78">
        <v>0.41666666666666669</v>
      </c>
      <c r="K249" s="1" t="str">
        <f>IF(Start!$B$6="Ja","",IF(((J249-I249)*24)&gt;=5.5,"X",""))</f>
        <v/>
      </c>
      <c r="L249" s="1" t="str">
        <f t="shared" si="274"/>
        <v/>
      </c>
      <c r="M249" s="58"/>
      <c r="N249" s="21" t="str">
        <f t="shared" si="269"/>
        <v/>
      </c>
      <c r="O249" s="21" t="str">
        <f t="shared" si="270"/>
        <v/>
      </c>
      <c r="Q249" s="25"/>
      <c r="R249" s="78">
        <v>0.41666666666666669</v>
      </c>
      <c r="S249" s="78">
        <v>0.41666666666666669</v>
      </c>
      <c r="T249" s="1" t="str">
        <f>IF(Start!$B$6="Ja","",IF(((S249-R249)*24)&gt;=5.5,"X",""))</f>
        <v/>
      </c>
      <c r="U249" s="1" t="str">
        <f t="shared" si="275"/>
        <v/>
      </c>
      <c r="V249" s="58"/>
      <c r="W249" s="21" t="str">
        <f t="shared" si="271"/>
        <v/>
      </c>
      <c r="X249" s="21" t="str">
        <f t="shared" si="272"/>
        <v/>
      </c>
      <c r="Z249" s="70" t="str">
        <f>IF(SUMIFS(TrackingTime!H:H,TrackingTime!F:F,Timer!B249,TrackingTime!C:C,"Hovedkontoret")&gt;0,SUMIFS(TrackingTime!H:H,TrackingTime!F:F,Timer!B249,TrackingTime!C:C,"Hovedkontoret"),"")</f>
        <v/>
      </c>
      <c r="AA249" s="71" t="str">
        <f t="shared" si="227"/>
        <v/>
      </c>
      <c r="AB249" t="str">
        <f>IF(SUMIFS(TrackingTime!H:H,TrackingTime!F:F,Timer!B249,TrackingTime!C:C,Start!$F$3)&gt;0,SUMIFS(TrackingTime!H:H,TrackingTime!F:F,Timer!B249,TrackingTime!C:C,Start!$F$3),"")</f>
        <v/>
      </c>
      <c r="AC249" s="71" t="str">
        <f t="shared" si="229"/>
        <v/>
      </c>
    </row>
    <row r="250" spans="1:29" x14ac:dyDescent="0.25">
      <c r="A250" s="15"/>
      <c r="B250" s="4" t="s">
        <v>11</v>
      </c>
      <c r="C250" s="24"/>
      <c r="D250" s="24"/>
      <c r="E250" s="24">
        <f t="shared" ca="1" si="252"/>
        <v>0</v>
      </c>
      <c r="F250" s="24" t="str">
        <f>IFERROR(IF(YEAR(B250)=Start!$B$1,MONTH(B250),""),"")</f>
        <v/>
      </c>
      <c r="G250" s="64" t="str">
        <f>IFERROR(VLOOKUP(B250,Start!A$111:B$273,2,FALSE),"")</f>
        <v/>
      </c>
      <c r="H250" s="4"/>
      <c r="I250" s="4"/>
      <c r="J250" s="4"/>
      <c r="K250" s="4"/>
      <c r="L250" s="5">
        <f t="shared" si="260"/>
        <v>0</v>
      </c>
      <c r="N250" s="24"/>
      <c r="O250" s="39">
        <f t="shared" ref="O250" si="276">SUM(O243:O249)</f>
        <v>0</v>
      </c>
      <c r="P250" s="40"/>
      <c r="Q250" s="41"/>
      <c r="R250" s="4"/>
      <c r="S250" s="4"/>
      <c r="T250" s="4"/>
      <c r="U250" s="5">
        <f t="shared" ref="U250" si="277">SUM($U243:$U249)</f>
        <v>0</v>
      </c>
      <c r="V250" s="58"/>
      <c r="W250" s="39"/>
      <c r="X250" s="39">
        <f t="shared" si="247"/>
        <v>0</v>
      </c>
      <c r="Z250" s="70" t="str">
        <f>IF(SUMIFS(TrackingTime!H:H,TrackingTime!F:F,Timer!B250,TrackingTime!C:C,"Hovedkontoret")&gt;0,SUMIFS(TrackingTime!H:H,TrackingTime!F:F,Timer!B250,TrackingTime!C:C,"Hovedkontoret"),"")</f>
        <v/>
      </c>
      <c r="AA250" s="71" t="str">
        <f t="shared" si="227"/>
        <v/>
      </c>
      <c r="AB250" t="str">
        <f>IF(SUMIFS(TrackingTime!H:H,TrackingTime!F:F,Timer!B250,TrackingTime!C:C,Start!$F$3)&gt;0,SUMIFS(TrackingTime!H:H,TrackingTime!F:F,Timer!B250,TrackingTime!C:C,Start!$F$3),"")</f>
        <v/>
      </c>
      <c r="AC250" s="71" t="str">
        <f t="shared" si="229"/>
        <v/>
      </c>
    </row>
    <row r="251" spans="1:29" x14ac:dyDescent="0.25">
      <c r="A251" s="15"/>
      <c r="B251" t="s">
        <v>90</v>
      </c>
      <c r="E251">
        <f t="shared" ca="1" si="252"/>
        <v>0</v>
      </c>
      <c r="F251" t="str">
        <f>IFERROR(IF(YEAR(B251)=Start!$B$1,MONTH(B251),""),"")</f>
        <v/>
      </c>
      <c r="G251" s="64" t="str">
        <f>IFERROR(VLOOKUP(B251,Start!A$111:B$273,2,FALSE),"")</f>
        <v/>
      </c>
      <c r="L251" s="1">
        <f t="shared" si="263"/>
        <v>0</v>
      </c>
      <c r="M251" s="1"/>
      <c r="N251" s="1"/>
      <c r="O251" s="21">
        <f t="shared" ref="O251" si="278">L251</f>
        <v>0</v>
      </c>
      <c r="P251" s="40"/>
      <c r="Q251" s="21"/>
      <c r="U251" s="1">
        <f t="shared" ref="U251" si="279">SUMIFS(D243:D249,F243:F249,"&gt;0")</f>
        <v>0</v>
      </c>
      <c r="V251" s="1"/>
      <c r="W251" s="1"/>
      <c r="X251" s="21">
        <f>U251</f>
        <v>0</v>
      </c>
      <c r="Z251" s="70" t="str">
        <f>IF(SUMIFS(TrackingTime!H:H,TrackingTime!F:F,Timer!B251,TrackingTime!C:C,"Hovedkontoret")&gt;0,SUMIFS(TrackingTime!H:H,TrackingTime!F:F,Timer!B251,TrackingTime!C:C,"Hovedkontoret"),"")</f>
        <v/>
      </c>
      <c r="AA251" s="71" t="str">
        <f t="shared" si="227"/>
        <v/>
      </c>
      <c r="AB251" t="str">
        <f>IF(SUMIFS(TrackingTime!H:H,TrackingTime!F:F,Timer!B251,TrackingTime!C:C,Start!$F$3)&gt;0,SUMIFS(TrackingTime!H:H,TrackingTime!F:F,Timer!B251,TrackingTime!C:C,Start!$F$3),"")</f>
        <v/>
      </c>
      <c r="AC251" s="71" t="str">
        <f t="shared" si="229"/>
        <v/>
      </c>
    </row>
    <row r="252" spans="1:29" x14ac:dyDescent="0.25">
      <c r="A252" s="16">
        <f>B249-B243-1</f>
        <v>5</v>
      </c>
      <c r="B252" t="s">
        <v>117</v>
      </c>
      <c r="E252">
        <f t="shared" ca="1" si="252"/>
        <v>0</v>
      </c>
      <c r="F252" t="str">
        <f>IFERROR(IF(YEAR(B252)=Start!$B$1,MONTH(B252),""),"")</f>
        <v/>
      </c>
      <c r="G252" s="64" t="str">
        <f>IFERROR(VLOOKUP(B252,Start!A$111:B$273,2,FALSE),"")</f>
        <v/>
      </c>
      <c r="L252" s="77">
        <f t="shared" ca="1" si="266"/>
        <v>0</v>
      </c>
      <c r="O252" s="21">
        <f t="shared" ref="O252" si="280">O250-O251</f>
        <v>0</v>
      </c>
      <c r="P252" s="21"/>
      <c r="Q252" s="21"/>
      <c r="U252" s="1">
        <f t="shared" ref="U252" ca="1" si="281">U250-U251*(IF(NETWORKDAYS($B243,TODAY())&lt;0,0,IF(NETWORKDAYS($B243,TODAY())&lt;=$A252,NETWORKDAYS($B243,TODAY()),$A252)))/$A252</f>
        <v>0</v>
      </c>
      <c r="V252" s="58"/>
      <c r="W252" s="21"/>
      <c r="X252" s="21">
        <f>X250-X251</f>
        <v>0</v>
      </c>
      <c r="Z252" s="70" t="str">
        <f>IF(SUMIFS(TrackingTime!H:H,TrackingTime!F:F,Timer!B252,TrackingTime!C:C,"Hovedkontoret")&gt;0,SUMIFS(TrackingTime!H:H,TrackingTime!F:F,Timer!B252,TrackingTime!C:C,"Hovedkontoret"),"")</f>
        <v/>
      </c>
      <c r="AA252" s="71" t="str">
        <f t="shared" si="227"/>
        <v/>
      </c>
      <c r="AB252" t="str">
        <f>IF(SUMIFS(TrackingTime!H:H,TrackingTime!F:F,Timer!B252,TrackingTime!C:C,Start!$F$3)&gt;0,SUMIFS(TrackingTime!H:H,TrackingTime!F:F,Timer!B252,TrackingTime!C:C,Start!$F$3),"")</f>
        <v/>
      </c>
      <c r="AC252" s="71" t="str">
        <f t="shared" si="229"/>
        <v/>
      </c>
    </row>
    <row r="253" spans="1:29" x14ac:dyDescent="0.25">
      <c r="A253" s="15"/>
      <c r="E253">
        <f t="shared" ca="1" si="252"/>
        <v>1</v>
      </c>
      <c r="F253" t="str">
        <f>IFERROR(IF(YEAR(B253)=Start!$B$1,MONTH(B253),""),"")</f>
        <v/>
      </c>
      <c r="G253" s="64" t="str">
        <f>IFERROR(VLOOKUP(B253,Start!A$111:B$273,2,FALSE),"")</f>
        <v/>
      </c>
      <c r="O253" s="2"/>
      <c r="P253" s="2"/>
      <c r="U253" s="1"/>
      <c r="V253" s="7"/>
      <c r="X253" s="2"/>
      <c r="Z253" s="70" t="str">
        <f>IF(SUMIFS(TrackingTime!H:H,TrackingTime!F:F,Timer!B253,TrackingTime!C:C,"Hovedkontoret")&gt;0,SUMIFS(TrackingTime!H:H,TrackingTime!F:F,Timer!B253,TrackingTime!C:C,"Hovedkontoret"),"")</f>
        <v/>
      </c>
      <c r="AA253" s="71" t="str">
        <f t="shared" si="227"/>
        <v/>
      </c>
      <c r="AB253" t="str">
        <f>IF(SUMIFS(TrackingTime!H:H,TrackingTime!F:F,Timer!B253,TrackingTime!C:C,Start!$F$3)&gt;0,SUMIFS(TrackingTime!H:H,TrackingTime!F:F,Timer!B253,TrackingTime!C:C,Start!$F$3),"")</f>
        <v/>
      </c>
      <c r="AC253" s="71" t="str">
        <f t="shared" si="229"/>
        <v/>
      </c>
    </row>
    <row r="254" spans="1:29" x14ac:dyDescent="0.25">
      <c r="A254" s="2" t="s">
        <v>82</v>
      </c>
      <c r="B254" s="14" t="s">
        <v>83</v>
      </c>
      <c r="E254">
        <f t="shared" ca="1" si="252"/>
        <v>0</v>
      </c>
      <c r="F254" t="str">
        <f>IFERROR(IF(YEAR(B254)=Start!$B$1,MONTH(B254),""),"")</f>
        <v/>
      </c>
      <c r="G254" s="64" t="str">
        <f>IFERROR(VLOOKUP(B254,Start!A$111:B$273,2,FALSE),"")</f>
        <v/>
      </c>
      <c r="H254" s="2" t="s">
        <v>86</v>
      </c>
      <c r="I254" s="2" t="s">
        <v>125</v>
      </c>
      <c r="J254" s="2" t="s">
        <v>126</v>
      </c>
      <c r="K254" s="2" t="s">
        <v>127</v>
      </c>
      <c r="L254" s="3" t="s">
        <v>87</v>
      </c>
      <c r="M254" s="6"/>
      <c r="N254" s="2" t="s">
        <v>88</v>
      </c>
      <c r="O254" s="2" t="s">
        <v>89</v>
      </c>
      <c r="P254" s="2"/>
      <c r="Q254" s="2" t="s">
        <v>86</v>
      </c>
      <c r="R254" s="2" t="s">
        <v>125</v>
      </c>
      <c r="S254" s="2" t="s">
        <v>126</v>
      </c>
      <c r="T254" s="2" t="s">
        <v>127</v>
      </c>
      <c r="U254" s="3" t="s">
        <v>87</v>
      </c>
      <c r="V254" s="6"/>
      <c r="W254" s="2" t="s">
        <v>88</v>
      </c>
      <c r="X254" s="2" t="s">
        <v>89</v>
      </c>
      <c r="Z254" s="70" t="str">
        <f>IF(SUMIFS(TrackingTime!H:H,TrackingTime!F:F,Timer!B254,TrackingTime!C:C,"Hovedkontoret")&gt;0,SUMIFS(TrackingTime!H:H,TrackingTime!F:F,Timer!B254,TrackingTime!C:C,"Hovedkontoret"),"")</f>
        <v/>
      </c>
      <c r="AA254" s="71" t="str">
        <f t="shared" si="227"/>
        <v/>
      </c>
      <c r="AB254" t="str">
        <f>IF(SUMIFS(TrackingTime!H:H,TrackingTime!F:F,Timer!B254,TrackingTime!C:C,Start!$F$3)&gt;0,SUMIFS(TrackingTime!H:H,TrackingTime!F:F,Timer!B254,TrackingTime!C:C,Start!$F$3),"")</f>
        <v/>
      </c>
      <c r="AC254" s="71" t="str">
        <f t="shared" si="229"/>
        <v/>
      </c>
    </row>
    <row r="255" spans="1:29" x14ac:dyDescent="0.25">
      <c r="A255" s="15">
        <f>WEEKNUM(B255,21)</f>
        <v>21</v>
      </c>
      <c r="B255" s="63">
        <f>B249+(DAY(1))</f>
        <v>46160</v>
      </c>
      <c r="C255" t="str">
        <f>IFERROR(IF(OR(L255="Fri",L255="Ferie",L255="Syk",L255="Omsorg",B255&lt;Start!$B$7),0,IF(IFERROR(MATCH(B255,Start!A$253:A$273,0),0)&gt;0,VLOOKUP(B255,Start!A$253:F$273,3,FALSE)/100*Start!$B$4,VLOOKUP(WEEKDAY(B255,2),Start!A$240:F$246,4,FALSE))),"")</f>
        <v/>
      </c>
      <c r="D255" t="str">
        <f>IFERROR(IF(OR(U255="Fri",U255="Ferie",U255="Syk",U255="Omsorg",B255&lt;Start!$F$7),0,IF(IFERROR(MATCH(B255,Start!A$253:A$273,0),0)&gt;0,VLOOKUP(B255,Start!A$253:F$273,3,FALSE)/100*Start!$F$4,VLOOKUP(WEEKDAY(B255,2),Start!A$240:F$246,6,FALSE))),"")</f>
        <v/>
      </c>
      <c r="E255">
        <f t="shared" ca="1" si="252"/>
        <v>0</v>
      </c>
      <c r="F255">
        <f>IFERROR(IF(YEAR(B255)=Start!$B$1,MONTH(B255),""),"")</f>
        <v>5</v>
      </c>
      <c r="G255" s="64" t="str">
        <f>IFERROR(VLOOKUP(B255,Start!A$111:B$273,2,FALSE),"")</f>
        <v/>
      </c>
      <c r="H255" s="21"/>
      <c r="I255" s="78">
        <v>0.33333333333333331</v>
      </c>
      <c r="J255" s="78">
        <v>0.33333333333333331</v>
      </c>
      <c r="K255" s="1" t="str">
        <f>IF(Start!$B$6="Ja","",IF(((J255-I255)*24)&gt;=5.5,"X",""))</f>
        <v/>
      </c>
      <c r="L255" s="1" t="str">
        <f>IF(_xlfn.IFNA(MATCH($A255,Start!$H$3:$H$11,0),0)&gt;0,"Ferie",IFERROR(IF(VLOOKUP(B255,Start!A$165:B$234,2,FALSE)&gt;0,"Fri",0),IF(AND((J255-I255)=0,Z255=""),"",MAX((IF(K255="X",(J255-I255)*24-0.5,(J255-I255)*24)),Z255))))</f>
        <v/>
      </c>
      <c r="M255" s="58"/>
      <c r="N255" s="21" t="str">
        <f t="shared" ref="N255:N261" si="282">IF(H255=0,"",H255)</f>
        <v/>
      </c>
      <c r="O255" s="21" t="str">
        <f t="shared" ref="O255:O261" si="283">IF(L255=0,"",L255)</f>
        <v/>
      </c>
      <c r="P255" s="2"/>
      <c r="Q255" s="21"/>
      <c r="R255" s="78">
        <v>0.33333333333333331</v>
      </c>
      <c r="S255" s="78">
        <v>0.33333333333333331</v>
      </c>
      <c r="T255" s="1" t="str">
        <f>IF(Start!$B$6="Ja","",IF(((S255-R255)*24)&gt;=5.5,"X",""))</f>
        <v/>
      </c>
      <c r="U255" s="1" t="str">
        <f>IF(_xlfn.IFNA(MATCH($A$15,Start!$H$3:$H$11,0),0)&gt;0,"Ferie",(IF(L255="fri","Fri",(IF(L255="syk","Syk",IF(L255="Ferie","Ferie",IF(AND((S255-R255)=0,AB255=""),"",MAX((IF(T255="X",(S255-R255)*24-0.5,(S255-R255)*24)),AB255))))))))</f>
        <v/>
      </c>
      <c r="V255" s="58"/>
      <c r="W255" s="21" t="str">
        <f t="shared" ref="W255:W261" si="284">IF(Q255=0,"",Q255)</f>
        <v/>
      </c>
      <c r="X255" s="21" t="str">
        <f t="shared" ref="X255:X261" si="285">IF(U255=0,"",U255)</f>
        <v/>
      </c>
      <c r="Z255" s="70" t="str">
        <f>IF(SUMIFS(TrackingTime!H:H,TrackingTime!F:F,Timer!B255,TrackingTime!C:C,"Hovedkontoret")&gt;0,SUMIFS(TrackingTime!H:H,TrackingTime!F:F,Timer!B255,TrackingTime!C:C,"Hovedkontoret"),"")</f>
        <v/>
      </c>
      <c r="AA255" s="71" t="str">
        <f t="shared" si="227"/>
        <v/>
      </c>
      <c r="AB255" t="str">
        <f>IF(SUMIFS(TrackingTime!H:H,TrackingTime!F:F,Timer!B255,TrackingTime!C:C,Start!$F$3)&gt;0,SUMIFS(TrackingTime!H:H,TrackingTime!F:F,Timer!B255,TrackingTime!C:C,Start!$F$3),"")</f>
        <v/>
      </c>
      <c r="AC255" s="71" t="str">
        <f t="shared" si="229"/>
        <v/>
      </c>
    </row>
    <row r="256" spans="1:29" x14ac:dyDescent="0.25">
      <c r="A256" s="15"/>
      <c r="B256" s="63">
        <f t="shared" ref="B256:B261" si="286">B255+DAY(1)</f>
        <v>46161</v>
      </c>
      <c r="C256" t="str">
        <f>IFERROR(IF(OR(L256="Fri",L256="Ferie",L256="Syk",L256="Omsorg",B256&lt;Start!$B$7),0,IF(IFERROR(MATCH(B256,Start!A$253:A$273,0),0)&gt;0,VLOOKUP(B256,Start!A$253:F$273,3,FALSE)/100*Start!$B$4,VLOOKUP(WEEKDAY(B256,2),Start!A$240:F$246,4,FALSE))),"")</f>
        <v/>
      </c>
      <c r="D256" t="str">
        <f>IFERROR(IF(OR(U256="Fri",U256="Ferie",U256="Syk",U256="Omsorg",B256&lt;Start!$F$7),0,IF(IFERROR(MATCH(B256,Start!A$253:A$273,0),0)&gt;0,VLOOKUP(B256,Start!A$253:F$273,3,FALSE)/100*Start!$F$4,VLOOKUP(WEEKDAY(B256,2),Start!A$240:F$246,6,FALSE))),"")</f>
        <v/>
      </c>
      <c r="E256">
        <f t="shared" ca="1" si="252"/>
        <v>0</v>
      </c>
      <c r="F256">
        <f>IFERROR(IF(YEAR(B256)=Start!$B$1,MONTH(B256),""),"")</f>
        <v>5</v>
      </c>
      <c r="G256" s="64" t="str">
        <f>IFERROR(VLOOKUP(B256,Start!A$111:B$273,2,FALSE),"")</f>
        <v/>
      </c>
      <c r="H256" s="21"/>
      <c r="I256" s="78">
        <v>0.33333333333333331</v>
      </c>
      <c r="J256" s="78">
        <v>0.33333333333333331</v>
      </c>
      <c r="K256" s="1" t="str">
        <f>IF(Start!$B$6="Ja","",IF(((J256-I256)*24)&gt;=5.5,"X",""))</f>
        <v/>
      </c>
      <c r="L256" s="1" t="str">
        <f>IF(_xlfn.IFNA(MATCH($A255,Start!$H$3:$H$11,0),0)&gt;0,"Ferie",IFERROR(IF(VLOOKUP($B256,Start!$A$165:$B$234,2,FALSE)&gt;0,"Fri",0),IF(AND((J256-I256)=0,Z256=""),"",MAX((IF(K256="X",(J256-I256)*24-0.5,(J256-I256)*24)),Z256))))</f>
        <v/>
      </c>
      <c r="M256" s="58"/>
      <c r="N256" s="21" t="str">
        <f t="shared" si="282"/>
        <v/>
      </c>
      <c r="O256" s="21" t="str">
        <f t="shared" si="283"/>
        <v/>
      </c>
      <c r="P256" s="2"/>
      <c r="Q256" s="21"/>
      <c r="R256" s="78">
        <v>0.33333333333333331</v>
      </c>
      <c r="S256" s="78">
        <v>0.33333333333333331</v>
      </c>
      <c r="T256" s="1" t="str">
        <f>IF(Start!$B$6="Ja","",IF(((S256-R256)*24)&gt;=5.5,"X",""))</f>
        <v/>
      </c>
      <c r="U256" s="1" t="str">
        <f>IF(_xlfn.IFNA(MATCH($A$15,Start!$H$3:$H$11,0),0)&gt;0,"Ferie",(IF(L256="fri","Fri",(IF(L256="syk","Syk",IF(L256="Ferie","Ferie",IF(AND((S256-R256)=0,AB256=""),"",MAX((IF(T256="X",(S256-R256)*24-0.5,(S256-R256)*24)),AB256))))))))</f>
        <v/>
      </c>
      <c r="V256" s="58"/>
      <c r="W256" s="21" t="str">
        <f t="shared" si="284"/>
        <v/>
      </c>
      <c r="X256" s="21" t="str">
        <f t="shared" si="285"/>
        <v/>
      </c>
      <c r="Z256" s="70" t="str">
        <f>IF(SUMIFS(TrackingTime!H:H,TrackingTime!F:F,Timer!B256,TrackingTime!C:C,"Hovedkontoret")&gt;0,SUMIFS(TrackingTime!H:H,TrackingTime!F:F,Timer!B256,TrackingTime!C:C,"Hovedkontoret"),"")</f>
        <v/>
      </c>
      <c r="AA256" s="71" t="str">
        <f t="shared" si="227"/>
        <v/>
      </c>
      <c r="AB256" t="str">
        <f>IF(SUMIFS(TrackingTime!H:H,TrackingTime!F:F,Timer!B256,TrackingTime!C:C,Start!$F$3)&gt;0,SUMIFS(TrackingTime!H:H,TrackingTime!F:F,Timer!B256,TrackingTime!C:C,Start!$F$3),"")</f>
        <v/>
      </c>
      <c r="AC256" s="71" t="str">
        <f t="shared" si="229"/>
        <v/>
      </c>
    </row>
    <row r="257" spans="1:29" x14ac:dyDescent="0.25">
      <c r="A257" s="15"/>
      <c r="B257" s="63">
        <f t="shared" si="286"/>
        <v>46162</v>
      </c>
      <c r="C257" t="str">
        <f>IFERROR(IF(OR(L257="Fri",L257="Ferie",L257="Syk",L257="Omsorg",B257&lt;Start!$B$7),0,IF(IFERROR(MATCH(B257,Start!A$253:A$273,0),0)&gt;0,VLOOKUP(B257,Start!A$253:F$273,3,FALSE)/100*Start!$B$4,VLOOKUP(WEEKDAY(B257,2),Start!A$240:F$246,4,FALSE))),"")</f>
        <v/>
      </c>
      <c r="D257" t="str">
        <f>IFERROR(IF(OR(U257="Fri",U257="Ferie",U257="Syk",U257="Omsorg",B257&lt;Start!$F$7),0,IF(IFERROR(MATCH(B257,Start!A$253:A$273,0),0)&gt;0,VLOOKUP(B257,Start!A$253:F$273,3,FALSE)/100*Start!$F$4,VLOOKUP(WEEKDAY(B257,2),Start!A$240:F$246,6,FALSE))),"")</f>
        <v/>
      </c>
      <c r="E257">
        <f t="shared" ca="1" si="252"/>
        <v>0</v>
      </c>
      <c r="F257">
        <f>IFERROR(IF(YEAR(B257)=Start!$B$1,MONTH(B257),""),"")</f>
        <v>5</v>
      </c>
      <c r="G257" s="64" t="str">
        <f>IFERROR(VLOOKUP(B257,Start!A$111:B$273,2,FALSE),"")</f>
        <v/>
      </c>
      <c r="H257" s="21"/>
      <c r="I257" s="78">
        <v>0.33333333333333331</v>
      </c>
      <c r="J257" s="78">
        <v>0.33333333333333331</v>
      </c>
      <c r="K257" s="1" t="str">
        <f>IF(Start!$B$6="Ja","",IF(((J257-I257)*24)&gt;=5.5,"X",""))</f>
        <v/>
      </c>
      <c r="L257" s="1" t="str">
        <f>IF(_xlfn.IFNA(MATCH($A255,Start!$H$3:$H$11,0),0)&gt;0,"Ferie",IFERROR(IF(VLOOKUP(B257,Start!A$165:B$234,2,FALSE)&gt;0,"Fri",0),IF(AND((J257-I257)=0,Z257=""),"",MAX((IF(K257="X",(J257-I257)*24-0.5,(J257-I257)*24)),Z257))))</f>
        <v/>
      </c>
      <c r="M257" s="58"/>
      <c r="N257" s="21" t="str">
        <f t="shared" si="282"/>
        <v/>
      </c>
      <c r="O257" s="21" t="str">
        <f t="shared" si="283"/>
        <v/>
      </c>
      <c r="P257" s="2"/>
      <c r="Q257" s="21"/>
      <c r="R257" s="78">
        <v>0.33333333333333331</v>
      </c>
      <c r="S257" s="78">
        <v>0.33333333333333331</v>
      </c>
      <c r="T257" s="1" t="str">
        <f>IF(Start!$B$6="Ja","",IF(((S257-R257)*24)&gt;=5.5,"X",""))</f>
        <v/>
      </c>
      <c r="U257" s="1" t="str">
        <f>IF(_xlfn.IFNA(MATCH($A$15,Start!$H$3:$H$11,0),0)&gt;0,"Ferie",(IF(L257="fri","Fri",(IF(L257="syk","Syk",IF(L257="Ferie","Ferie",IF(AND((S257-R257)=0,AB257=""),"",MAX((IF(T257="X",(S257-R257)*24-0.5,(S257-R257)*24)),AB257))))))))</f>
        <v/>
      </c>
      <c r="V257" s="58"/>
      <c r="W257" s="21" t="str">
        <f t="shared" si="284"/>
        <v/>
      </c>
      <c r="X257" s="21" t="str">
        <f t="shared" si="285"/>
        <v/>
      </c>
      <c r="Z257" s="70" t="str">
        <f>IF(SUMIFS(TrackingTime!H:H,TrackingTime!F:F,Timer!B257,TrackingTime!C:C,"Hovedkontoret")&gt;0,SUMIFS(TrackingTime!H:H,TrackingTime!F:F,Timer!B257,TrackingTime!C:C,"Hovedkontoret"),"")</f>
        <v/>
      </c>
      <c r="AA257" s="71" t="str">
        <f t="shared" si="227"/>
        <v/>
      </c>
      <c r="AB257" t="str">
        <f>IF(SUMIFS(TrackingTime!H:H,TrackingTime!F:F,Timer!B257,TrackingTime!C:C,Start!$F$3)&gt;0,SUMIFS(TrackingTime!H:H,TrackingTime!F:F,Timer!B257,TrackingTime!C:C,Start!$F$3),"")</f>
        <v/>
      </c>
      <c r="AC257" s="71" t="str">
        <f t="shared" si="229"/>
        <v/>
      </c>
    </row>
    <row r="258" spans="1:29" x14ac:dyDescent="0.25">
      <c r="A258" s="15"/>
      <c r="B258" s="63">
        <f t="shared" si="286"/>
        <v>46163</v>
      </c>
      <c r="C258" t="str">
        <f>IFERROR(IF(OR(L258="Fri",L258="Ferie",L258="Syk",L258="Omsorg",B258&lt;Start!$B$7),0,IF(IFERROR(MATCH(B258,Start!A$253:A$273,0),0)&gt;0,VLOOKUP(B258,Start!A$253:F$273,3,FALSE)/100*Start!$B$4,VLOOKUP(WEEKDAY(B258,2),Start!A$240:F$246,4,FALSE))),"")</f>
        <v/>
      </c>
      <c r="D258" t="str">
        <f>IFERROR(IF(OR(U258="Fri",U258="Ferie",U258="Syk",U258="Omsorg",B258&lt;Start!$F$7),0,IF(IFERROR(MATCH(B258,Start!A$253:A$273,0),0)&gt;0,VLOOKUP(B258,Start!A$253:F$273,3,FALSE)/100*Start!$F$4,VLOOKUP(WEEKDAY(B258,2),Start!A$240:F$246,6,FALSE))),"")</f>
        <v/>
      </c>
      <c r="E258">
        <f t="shared" ca="1" si="252"/>
        <v>0</v>
      </c>
      <c r="F258">
        <f>IFERROR(IF(YEAR(B258)=Start!$B$1,MONTH(B258),""),"")</f>
        <v>5</v>
      </c>
      <c r="G258" s="64" t="str">
        <f>IFERROR(VLOOKUP(B258,Start!A$111:B$273,2,FALSE),"")</f>
        <v/>
      </c>
      <c r="H258" s="21"/>
      <c r="I258" s="78">
        <v>0.33333333333333331</v>
      </c>
      <c r="J258" s="78">
        <v>0.33333333333333331</v>
      </c>
      <c r="K258" s="1" t="str">
        <f>IF(Start!$B$6="Ja","",IF(((J258-I258)*24)&gt;=5.5,"X",""))</f>
        <v/>
      </c>
      <c r="L258" s="1" t="str">
        <f>IF(_xlfn.IFNA(MATCH($A255,Start!$H$3:$H$11,0),0)&gt;0,"Ferie",IFERROR(IF(VLOOKUP(B258,Start!A$165:B$234,2,FALSE)&gt;0,"Fri",0),IF(AND((J258-I258)=0,Z258=""),"",MAX((IF(K258="X",(J258-I258)*24-0.5,(J258-I258)*24)),Z258))))</f>
        <v/>
      </c>
      <c r="M258" s="58"/>
      <c r="N258" s="21" t="str">
        <f t="shared" si="282"/>
        <v/>
      </c>
      <c r="O258" s="21" t="str">
        <f t="shared" si="283"/>
        <v/>
      </c>
      <c r="P258" s="2"/>
      <c r="Q258" s="21"/>
      <c r="R258" s="78">
        <v>0.33333333333333331</v>
      </c>
      <c r="S258" s="78">
        <v>0.33333333333333331</v>
      </c>
      <c r="T258" s="1" t="str">
        <f>IF(Start!$B$6="Ja","",IF(((S258-R258)*24)&gt;=5.5,"X",""))</f>
        <v/>
      </c>
      <c r="U258" s="1" t="str">
        <f>IF(_xlfn.IFNA(MATCH($A$15,Start!$H$3:$H$11,0),0)&gt;0,"Ferie",(IF(L258="fri","Fri",(IF(L258="syk","Syk",IF(L258="Ferie","Ferie",IF(AND((S258-R258)=0,AB258=""),"",MAX((IF(T258="X",(S258-R258)*24-0.5,(S258-R258)*24)),AB258))))))))</f>
        <v/>
      </c>
      <c r="V258" s="58"/>
      <c r="W258" s="21" t="str">
        <f t="shared" si="284"/>
        <v/>
      </c>
      <c r="X258" s="21" t="str">
        <f t="shared" si="285"/>
        <v/>
      </c>
      <c r="Z258" s="70" t="str">
        <f>IF(SUMIFS(TrackingTime!H:H,TrackingTime!F:F,Timer!B258,TrackingTime!C:C,"Hovedkontoret")&gt;0,SUMIFS(TrackingTime!H:H,TrackingTime!F:F,Timer!B258,TrackingTime!C:C,"Hovedkontoret"),"")</f>
        <v/>
      </c>
      <c r="AA258" s="71" t="str">
        <f t="shared" si="227"/>
        <v/>
      </c>
      <c r="AB258" t="str">
        <f>IF(SUMIFS(TrackingTime!H:H,TrackingTime!F:F,Timer!B258,TrackingTime!C:C,Start!$F$3)&gt;0,SUMIFS(TrackingTime!H:H,TrackingTime!F:F,Timer!B258,TrackingTime!C:C,Start!$F$3),"")</f>
        <v/>
      </c>
      <c r="AC258" s="71" t="str">
        <f t="shared" si="229"/>
        <v/>
      </c>
    </row>
    <row r="259" spans="1:29" x14ac:dyDescent="0.25">
      <c r="A259" s="15"/>
      <c r="B259" s="63">
        <f t="shared" si="286"/>
        <v>46164</v>
      </c>
      <c r="C259" t="str">
        <f>IFERROR(IF(OR(L259="Fri",L259="Ferie",L259="Syk",L259="Omsorg",B259&lt;Start!$B$7),0,IF(IFERROR(MATCH(B259,Start!A$253:A$273,0),0)&gt;0,VLOOKUP(B259,Start!A$253:F$273,3,FALSE)/100*Start!$B$4,VLOOKUP(WEEKDAY(B259,2),Start!A$240:F$246,4,FALSE))),"")</f>
        <v/>
      </c>
      <c r="D259" t="str">
        <f>IFERROR(IF(OR(U259="Fri",U259="Ferie",U259="Syk",U259="Omsorg",B259&lt;Start!$F$7),0,IF(IFERROR(MATCH(B259,Start!A$253:A$273,0),0)&gt;0,VLOOKUP(B259,Start!A$253:F$273,3,FALSE)/100*Start!$F$4,VLOOKUP(WEEKDAY(B259,2),Start!A$240:F$246,6,FALSE))),"")</f>
        <v/>
      </c>
      <c r="E259">
        <f t="shared" ca="1" si="252"/>
        <v>0</v>
      </c>
      <c r="F259">
        <f>IFERROR(IF(YEAR(B259)=Start!$B$1,MONTH(B259),""),"")</f>
        <v>5</v>
      </c>
      <c r="G259" s="64" t="str">
        <f>IFERROR(VLOOKUP(B259,Start!A$111:B$273,2,FALSE),"")</f>
        <v/>
      </c>
      <c r="H259" s="21"/>
      <c r="I259" s="78">
        <v>0.33333333333333331</v>
      </c>
      <c r="J259" s="78">
        <v>0.33333333333333331</v>
      </c>
      <c r="K259" s="1" t="str">
        <f>IF(Start!$B$6="Ja","",IF(((J259-I259)*24)&gt;=5.5,"X",""))</f>
        <v/>
      </c>
      <c r="L259" s="1" t="str">
        <f>IF(_xlfn.IFNA(MATCH($A255,Start!$H$3:$H$11,0),0)&gt;0,"Ferie",IFERROR(IF(VLOOKUP(B259,Start!A$165:B$234,2,FALSE)&gt;0,"Fri",0),IF(AND((J259-I259)=0,Z259=""),"",MAX((IF(K259="X",(J259-I259)*24-0.5,(J259-I259)*24)),Z259))))</f>
        <v/>
      </c>
      <c r="M259" s="58"/>
      <c r="N259" s="21" t="str">
        <f t="shared" si="282"/>
        <v/>
      </c>
      <c r="O259" s="21" t="str">
        <f t="shared" si="283"/>
        <v/>
      </c>
      <c r="P259" s="2"/>
      <c r="Q259" s="21"/>
      <c r="R259" s="78">
        <v>0.33333333333333331</v>
      </c>
      <c r="S259" s="78">
        <v>0.33333333333333331</v>
      </c>
      <c r="T259" s="1" t="str">
        <f>IF(Start!$B$6="Ja","",IF(((S259-R259)*24)&gt;=5.5,"X",""))</f>
        <v/>
      </c>
      <c r="U259" s="1" t="str">
        <f>IF(_xlfn.IFNA(MATCH($A$15,Start!$H$3:$H$11,0),0)&gt;0,"Ferie",(IF(L259="fri","Fri",(IF(L259="syk","Syk",IF(L259="Ferie","Ferie",IF(AND((S259-R259)=0,AB259=""),"",MAX((IF(T259="X",(S259-R259)*24-0.5,(S259-R259)*24)),AB259))))))))</f>
        <v/>
      </c>
      <c r="V259" s="58"/>
      <c r="W259" s="21" t="str">
        <f t="shared" si="284"/>
        <v/>
      </c>
      <c r="X259" s="21" t="str">
        <f t="shared" si="285"/>
        <v/>
      </c>
      <c r="Z259" s="70" t="str">
        <f>IF(SUMIFS(TrackingTime!H:H,TrackingTime!F:F,Timer!B259,TrackingTime!C:C,"Hovedkontoret")&gt;0,SUMIFS(TrackingTime!H:H,TrackingTime!F:F,Timer!B259,TrackingTime!C:C,"Hovedkontoret"),"")</f>
        <v/>
      </c>
      <c r="AA259" s="71" t="str">
        <f t="shared" si="227"/>
        <v/>
      </c>
      <c r="AB259" t="str">
        <f>IF(SUMIFS(TrackingTime!H:H,TrackingTime!F:F,Timer!B259,TrackingTime!C:C,Start!$F$3)&gt;0,SUMIFS(TrackingTime!H:H,TrackingTime!F:F,Timer!B259,TrackingTime!C:C,Start!$F$3),"")</f>
        <v/>
      </c>
      <c r="AC259" s="71" t="str">
        <f t="shared" si="229"/>
        <v/>
      </c>
    </row>
    <row r="260" spans="1:29" x14ac:dyDescent="0.25">
      <c r="A260" s="15"/>
      <c r="B260" s="63">
        <f t="shared" si="286"/>
        <v>46165</v>
      </c>
      <c r="C260">
        <f>IFERROR(IF(OR(L260="Fri",L260="Ferie",L260="Syk",L260="Omsorg",B260&lt;Start!$B$7),0,IF(IFERROR(MATCH(B260,Start!A$253:A$273,0),0)&gt;0,VLOOKUP(B260,Start!A$253:F$273,3,FALSE)/100*Start!$B$4,VLOOKUP(WEEKDAY(B260,2),Start!A$240:F$246,4,FALSE))),"")</f>
        <v>0</v>
      </c>
      <c r="D260">
        <f>IFERROR(IF(OR(U260="Fri",U260="Ferie",U260="Syk",U260="Omsorg",B260&lt;Start!$F$7),0,IF(IFERROR(MATCH(B260,Start!A$253:A$273,0),0)&gt;0,VLOOKUP(B260,Start!A$253:F$273,3,FALSE)/100*Start!$F$4,VLOOKUP(WEEKDAY(B260,2),Start!A$240:F$246,6,FALSE))),"")</f>
        <v>0</v>
      </c>
      <c r="E260">
        <f t="shared" ca="1" si="252"/>
        <v>0</v>
      </c>
      <c r="F260">
        <f>IFERROR(IF(YEAR(B260)=Start!$B$1,MONTH(B260),""),"")</f>
        <v>5</v>
      </c>
      <c r="G260" s="64" t="str">
        <f>IFERROR(VLOOKUP(B260,Start!A$111:B$273,2,FALSE),"")</f>
        <v/>
      </c>
      <c r="H260" s="21"/>
      <c r="I260" s="78">
        <v>0.41666666666666669</v>
      </c>
      <c r="J260" s="78">
        <v>0.41666666666666669</v>
      </c>
      <c r="K260" s="1" t="str">
        <f>IF(Start!$B$6="Ja","",IF(((J260-I260)*24)&gt;=5.5,"X",""))</f>
        <v/>
      </c>
      <c r="L260" s="1" t="str">
        <f t="shared" ref="L260:L261" si="287">IF(AND((J260-I260)=0,Z260=""),"",MAX((IF(K260="X",(J260-I260)*24-0.5,(J260-I260)*24)),Z260))</f>
        <v/>
      </c>
      <c r="M260" s="58"/>
      <c r="N260" s="21" t="str">
        <f t="shared" si="282"/>
        <v/>
      </c>
      <c r="O260" s="21" t="str">
        <f t="shared" si="283"/>
        <v/>
      </c>
      <c r="P260" s="2"/>
      <c r="Q260" s="21"/>
      <c r="R260" s="78">
        <v>0.41666666666666669</v>
      </c>
      <c r="S260" s="78">
        <v>0.41666666666666669</v>
      </c>
      <c r="T260" s="1" t="str">
        <f>IF(Start!$B$6="Ja","",IF(((S260-R260)*24)&gt;=5.5,"X",""))</f>
        <v/>
      </c>
      <c r="U260" s="1" t="str">
        <f t="shared" ref="U260:U261" si="288">IF(AND((S260-R260)=0,AB260=""),"",MAX((IF(T260="X",(S260-R260)*24-0.5,(S260-R260)*24)),AB260))</f>
        <v/>
      </c>
      <c r="V260" s="58"/>
      <c r="W260" s="21" t="str">
        <f t="shared" si="284"/>
        <v/>
      </c>
      <c r="X260" s="21" t="str">
        <f t="shared" si="285"/>
        <v/>
      </c>
      <c r="Z260" s="70" t="str">
        <f>IF(SUMIFS(TrackingTime!H:H,TrackingTime!F:F,Timer!B260,TrackingTime!C:C,"Hovedkontoret")&gt;0,SUMIFS(TrackingTime!H:H,TrackingTime!F:F,Timer!B260,TrackingTime!C:C,"Hovedkontoret"),"")</f>
        <v/>
      </c>
      <c r="AA260" s="71" t="str">
        <f t="shared" si="227"/>
        <v/>
      </c>
      <c r="AB260" t="str">
        <f>IF(SUMIFS(TrackingTime!H:H,TrackingTime!F:F,Timer!B260,TrackingTime!C:C,Start!$F$3)&gt;0,SUMIFS(TrackingTime!H:H,TrackingTime!F:F,Timer!B260,TrackingTime!C:C,Start!$F$3),"")</f>
        <v/>
      </c>
      <c r="AC260" s="71" t="str">
        <f t="shared" si="229"/>
        <v/>
      </c>
    </row>
    <row r="261" spans="1:29" x14ac:dyDescent="0.25">
      <c r="A261" s="15"/>
      <c r="B261" s="63">
        <f t="shared" si="286"/>
        <v>46166</v>
      </c>
      <c r="C261">
        <f>IFERROR(IF(OR(L261="Fri",L261="Ferie",L261="Syk",L261="Omsorg",B261&lt;Start!$B$7),0,IF(IFERROR(MATCH(B261,Start!A$253:A$273,0),0)&gt;0,VLOOKUP(B261,Start!A$253:F$273,3,FALSE)/100*Start!$B$4,VLOOKUP(WEEKDAY(B261,2),Start!A$240:F$246,4,FALSE))),"")</f>
        <v>0</v>
      </c>
      <c r="D261">
        <f>IFERROR(IF(OR(U261="Fri",U261="Ferie",U261="Syk",U261="Omsorg",B261&lt;Start!$F$7),0,IF(IFERROR(MATCH(B261,Start!A$253:A$273,0),0)&gt;0,VLOOKUP(B261,Start!A$253:F$273,3,FALSE)/100*Start!$F$4,VLOOKUP(WEEKDAY(B261,2),Start!A$240:F$246,6,FALSE))),"")</f>
        <v>0</v>
      </c>
      <c r="E261">
        <f t="shared" ca="1" si="252"/>
        <v>0</v>
      </c>
      <c r="F261">
        <f>IFERROR(IF(YEAR(B261)=Start!$B$1,MONTH(B261),""),"")</f>
        <v>5</v>
      </c>
      <c r="G261" s="64" t="str">
        <f>IFERROR(VLOOKUP(B261,Start!A$111:B$273,2,FALSE),"")</f>
        <v>1. pinsedag</v>
      </c>
      <c r="H261" s="25"/>
      <c r="I261" s="78">
        <v>0.41666666666666669</v>
      </c>
      <c r="J261" s="78">
        <v>0.41666666666666669</v>
      </c>
      <c r="K261" s="1" t="str">
        <f>IF(Start!$B$6="Ja","",IF(((J261-I261)*24)&gt;=5.5,"X",""))</f>
        <v/>
      </c>
      <c r="L261" s="1" t="str">
        <f t="shared" si="287"/>
        <v/>
      </c>
      <c r="M261" s="58"/>
      <c r="N261" s="21" t="str">
        <f t="shared" si="282"/>
        <v/>
      </c>
      <c r="O261" s="21" t="str">
        <f t="shared" si="283"/>
        <v/>
      </c>
      <c r="Q261" s="25"/>
      <c r="R261" s="78">
        <v>0.41666666666666669</v>
      </c>
      <c r="S261" s="78">
        <v>0.41666666666666669</v>
      </c>
      <c r="T261" s="1" t="str">
        <f>IF(Start!$B$6="Ja","",IF(((S261-R261)*24)&gt;=5.5,"X",""))</f>
        <v/>
      </c>
      <c r="U261" s="1" t="str">
        <f t="shared" si="288"/>
        <v/>
      </c>
      <c r="V261" s="58"/>
      <c r="W261" s="21" t="str">
        <f t="shared" si="284"/>
        <v/>
      </c>
      <c r="X261" s="21" t="str">
        <f t="shared" si="285"/>
        <v/>
      </c>
      <c r="Z261" s="70" t="str">
        <f>IF(SUMIFS(TrackingTime!H:H,TrackingTime!F:F,Timer!B261,TrackingTime!C:C,"Hovedkontoret")&gt;0,SUMIFS(TrackingTime!H:H,TrackingTime!F:F,Timer!B261,TrackingTime!C:C,"Hovedkontoret"),"")</f>
        <v/>
      </c>
      <c r="AA261" s="71" t="str">
        <f t="shared" si="227"/>
        <v/>
      </c>
      <c r="AB261" t="str">
        <f>IF(SUMIFS(TrackingTime!H:H,TrackingTime!F:F,Timer!B261,TrackingTime!C:C,Start!$F$3)&gt;0,SUMIFS(TrackingTime!H:H,TrackingTime!F:F,Timer!B261,TrackingTime!C:C,Start!$F$3),"")</f>
        <v/>
      </c>
      <c r="AC261" s="71" t="str">
        <f t="shared" si="229"/>
        <v/>
      </c>
    </row>
    <row r="262" spans="1:29" x14ac:dyDescent="0.25">
      <c r="A262" s="15"/>
      <c r="B262" s="4" t="s">
        <v>11</v>
      </c>
      <c r="C262" s="24"/>
      <c r="D262" s="24"/>
      <c r="E262" s="24">
        <f t="shared" ca="1" si="252"/>
        <v>0</v>
      </c>
      <c r="F262" s="24" t="str">
        <f>IFERROR(IF(YEAR(B262)=Start!$B$1,MONTH(B262),""),"")</f>
        <v/>
      </c>
      <c r="G262" s="64" t="str">
        <f>IFERROR(VLOOKUP(B262,Start!A$111:B$273,2,FALSE),"")</f>
        <v/>
      </c>
      <c r="H262" s="4"/>
      <c r="I262" s="4"/>
      <c r="J262" s="4"/>
      <c r="K262" s="4"/>
      <c r="L262" s="5">
        <f t="shared" si="260"/>
        <v>0</v>
      </c>
      <c r="N262" s="24"/>
      <c r="O262" s="39">
        <f t="shared" ref="O262" si="289">SUM(O255:O261)</f>
        <v>0</v>
      </c>
      <c r="P262" s="40"/>
      <c r="Q262" s="41"/>
      <c r="R262" s="4"/>
      <c r="S262" s="4"/>
      <c r="T262" s="4"/>
      <c r="U262" s="5">
        <f t="shared" ref="U262" si="290">SUM($U255:$U261)</f>
        <v>0</v>
      </c>
      <c r="V262" s="58"/>
      <c r="W262" s="39"/>
      <c r="X262" s="39">
        <f t="shared" si="247"/>
        <v>0</v>
      </c>
      <c r="Z262" s="70" t="str">
        <f>IF(SUMIFS(TrackingTime!H:H,TrackingTime!F:F,Timer!B262,TrackingTime!C:C,"Hovedkontoret")&gt;0,SUMIFS(TrackingTime!H:H,TrackingTime!F:F,Timer!B262,TrackingTime!C:C,"Hovedkontoret"),"")</f>
        <v/>
      </c>
      <c r="AA262" s="71" t="str">
        <f t="shared" si="227"/>
        <v/>
      </c>
      <c r="AB262" t="str">
        <f>IF(SUMIFS(TrackingTime!H:H,TrackingTime!F:F,Timer!B262,TrackingTime!C:C,Start!$F$3)&gt;0,SUMIFS(TrackingTime!H:H,TrackingTime!F:F,Timer!B262,TrackingTime!C:C,Start!$F$3),"")</f>
        <v/>
      </c>
      <c r="AC262" s="71" t="str">
        <f t="shared" si="229"/>
        <v/>
      </c>
    </row>
    <row r="263" spans="1:29" x14ac:dyDescent="0.25">
      <c r="A263" s="15"/>
      <c r="B263" t="s">
        <v>90</v>
      </c>
      <c r="E263">
        <f t="shared" ca="1" si="252"/>
        <v>0</v>
      </c>
      <c r="F263" t="str">
        <f>IFERROR(IF(YEAR(B263)=Start!$B$1,MONTH(B263),""),"")</f>
        <v/>
      </c>
      <c r="G263" s="64" t="str">
        <f>IFERROR(VLOOKUP(B263,Start!A$111:B$273,2,FALSE),"")</f>
        <v/>
      </c>
      <c r="L263" s="1">
        <f t="shared" si="263"/>
        <v>0</v>
      </c>
      <c r="M263" s="1"/>
      <c r="N263" s="1"/>
      <c r="O263" s="21">
        <f t="shared" ref="O263" si="291">L263</f>
        <v>0</v>
      </c>
      <c r="P263" s="40"/>
      <c r="Q263" s="21"/>
      <c r="U263" s="1">
        <f t="shared" ref="U263" si="292">SUMIFS(D255:D261,F255:F261,"&gt;0")</f>
        <v>0</v>
      </c>
      <c r="V263" s="1"/>
      <c r="W263" s="1"/>
      <c r="X263" s="21">
        <f>U263</f>
        <v>0</v>
      </c>
      <c r="Z263" s="70" t="str">
        <f>IF(SUMIFS(TrackingTime!H:H,TrackingTime!F:F,Timer!B263,TrackingTime!C:C,"Hovedkontoret")&gt;0,SUMIFS(TrackingTime!H:H,TrackingTime!F:F,Timer!B263,TrackingTime!C:C,"Hovedkontoret"),"")</f>
        <v/>
      </c>
      <c r="AA263" s="71" t="str">
        <f t="shared" si="227"/>
        <v/>
      </c>
      <c r="AB263" t="str">
        <f>IF(SUMIFS(TrackingTime!H:H,TrackingTime!F:F,Timer!B263,TrackingTime!C:C,Start!$F$3)&gt;0,SUMIFS(TrackingTime!H:H,TrackingTime!F:F,Timer!B263,TrackingTime!C:C,Start!$F$3),"")</f>
        <v/>
      </c>
      <c r="AC263" s="71" t="str">
        <f t="shared" si="229"/>
        <v/>
      </c>
    </row>
    <row r="264" spans="1:29" x14ac:dyDescent="0.25">
      <c r="A264" s="16">
        <f>B261-B255-1</f>
        <v>5</v>
      </c>
      <c r="B264" t="s">
        <v>117</v>
      </c>
      <c r="E264">
        <f t="shared" ca="1" si="252"/>
        <v>0</v>
      </c>
      <c r="F264" t="str">
        <f>IFERROR(IF(YEAR(B264)=Start!$B$1,MONTH(B264),""),"")</f>
        <v/>
      </c>
      <c r="G264" s="64" t="str">
        <f>IFERROR(VLOOKUP(B264,Start!A$111:B$273,2,FALSE),"")</f>
        <v/>
      </c>
      <c r="L264" s="77">
        <f t="shared" ca="1" si="266"/>
        <v>0</v>
      </c>
      <c r="O264" s="21">
        <f t="shared" ref="O264" si="293">O262-O263</f>
        <v>0</v>
      </c>
      <c r="P264" s="21"/>
      <c r="Q264" s="21"/>
      <c r="U264" s="1">
        <f t="shared" ref="U264" ca="1" si="294">U262-U263*(IF(NETWORKDAYS($B255,TODAY())&lt;0,0,IF(NETWORKDAYS($B255,TODAY())&lt;=$A264,NETWORKDAYS($B255,TODAY()),$A264)))/$A264</f>
        <v>0</v>
      </c>
      <c r="V264" s="58"/>
      <c r="W264" s="21"/>
      <c r="X264" s="21">
        <f>X262-X263</f>
        <v>0</v>
      </c>
      <c r="Z264" s="70" t="str">
        <f>IF(SUMIFS(TrackingTime!H:H,TrackingTime!F:F,Timer!B264,TrackingTime!C:C,"Hovedkontoret")&gt;0,SUMIFS(TrackingTime!H:H,TrackingTime!F:F,Timer!B264,TrackingTime!C:C,"Hovedkontoret"),"")</f>
        <v/>
      </c>
      <c r="AA264" s="71" t="str">
        <f t="shared" si="227"/>
        <v/>
      </c>
      <c r="AB264" t="str">
        <f>IF(SUMIFS(TrackingTime!H:H,TrackingTime!F:F,Timer!B264,TrackingTime!C:C,Start!$F$3)&gt;0,SUMIFS(TrackingTime!H:H,TrackingTime!F:F,Timer!B264,TrackingTime!C:C,Start!$F$3),"")</f>
        <v/>
      </c>
      <c r="AC264" s="71" t="str">
        <f t="shared" si="229"/>
        <v/>
      </c>
    </row>
    <row r="265" spans="1:29" x14ac:dyDescent="0.25">
      <c r="A265" s="15"/>
      <c r="E265">
        <f t="shared" ca="1" si="252"/>
        <v>1</v>
      </c>
      <c r="F265" t="str">
        <f>IFERROR(IF(YEAR(B265)=Start!$B$1,MONTH(B265),""),"")</f>
        <v/>
      </c>
      <c r="G265" s="64" t="str">
        <f>IFERROR(VLOOKUP(B265,Start!A$111:B$273,2,FALSE),"")</f>
        <v/>
      </c>
      <c r="O265" s="2"/>
      <c r="P265" s="2"/>
      <c r="U265" s="1"/>
      <c r="V265" s="7"/>
      <c r="X265" s="2"/>
      <c r="Z265" s="70" t="str">
        <f>IF(SUMIFS(TrackingTime!H:H,TrackingTime!F:F,Timer!B265,TrackingTime!C:C,"Hovedkontoret")&gt;0,SUMIFS(TrackingTime!H:H,TrackingTime!F:F,Timer!B265,TrackingTime!C:C,"Hovedkontoret"),"")</f>
        <v/>
      </c>
      <c r="AA265" s="71" t="str">
        <f t="shared" si="227"/>
        <v/>
      </c>
      <c r="AB265" t="str">
        <f>IF(SUMIFS(TrackingTime!H:H,TrackingTime!F:F,Timer!B265,TrackingTime!C:C,Start!$F$3)&gt;0,SUMIFS(TrackingTime!H:H,TrackingTime!F:F,Timer!B265,TrackingTime!C:C,Start!$F$3),"")</f>
        <v/>
      </c>
      <c r="AC265" s="71" t="str">
        <f t="shared" si="229"/>
        <v/>
      </c>
    </row>
    <row r="266" spans="1:29" x14ac:dyDescent="0.25">
      <c r="A266" s="2" t="s">
        <v>82</v>
      </c>
      <c r="B266" s="14" t="s">
        <v>83</v>
      </c>
      <c r="E266">
        <f t="shared" ca="1" si="252"/>
        <v>0</v>
      </c>
      <c r="F266" t="str">
        <f>IFERROR(IF(YEAR(B266)=Start!$B$1,MONTH(B266),""),"")</f>
        <v/>
      </c>
      <c r="G266" s="64" t="str">
        <f>IFERROR(VLOOKUP(B266,Start!A$111:B$273,2,FALSE),"")</f>
        <v/>
      </c>
      <c r="H266" s="2" t="s">
        <v>86</v>
      </c>
      <c r="I266" s="2" t="s">
        <v>125</v>
      </c>
      <c r="J266" s="2" t="s">
        <v>126</v>
      </c>
      <c r="K266" s="2" t="s">
        <v>127</v>
      </c>
      <c r="L266" s="3" t="s">
        <v>87</v>
      </c>
      <c r="M266" s="6"/>
      <c r="N266" s="2" t="s">
        <v>88</v>
      </c>
      <c r="O266" s="2" t="s">
        <v>89</v>
      </c>
      <c r="P266" s="2"/>
      <c r="Q266" s="2" t="s">
        <v>86</v>
      </c>
      <c r="R266" s="2" t="s">
        <v>125</v>
      </c>
      <c r="S266" s="2" t="s">
        <v>126</v>
      </c>
      <c r="T266" s="2" t="s">
        <v>127</v>
      </c>
      <c r="U266" s="3" t="s">
        <v>87</v>
      </c>
      <c r="V266" s="6"/>
      <c r="W266" s="2" t="s">
        <v>88</v>
      </c>
      <c r="X266" s="2" t="s">
        <v>89</v>
      </c>
      <c r="Z266" s="70" t="str">
        <f>IF(SUMIFS(TrackingTime!H:H,TrackingTime!F:F,Timer!B266,TrackingTime!C:C,"Hovedkontoret")&gt;0,SUMIFS(TrackingTime!H:H,TrackingTime!F:F,Timer!B266,TrackingTime!C:C,"Hovedkontoret"),"")</f>
        <v/>
      </c>
      <c r="AA266" s="71" t="str">
        <f t="shared" si="227"/>
        <v/>
      </c>
      <c r="AB266" t="str">
        <f>IF(SUMIFS(TrackingTime!H:H,TrackingTime!F:F,Timer!B266,TrackingTime!C:C,Start!$F$3)&gt;0,SUMIFS(TrackingTime!H:H,TrackingTime!F:F,Timer!B266,TrackingTime!C:C,Start!$F$3),"")</f>
        <v/>
      </c>
      <c r="AC266" s="71" t="str">
        <f t="shared" si="229"/>
        <v/>
      </c>
    </row>
    <row r="267" spans="1:29" x14ac:dyDescent="0.25">
      <c r="A267" s="15">
        <f>WEEKNUM(B267,21)</f>
        <v>22</v>
      </c>
      <c r="B267" s="63">
        <f>B261+(DAY(1))</f>
        <v>46167</v>
      </c>
      <c r="C267">
        <f>IFERROR(IF(OR(L267="Fri",L267="Ferie",L267="Syk",L267="Omsorg",B267&lt;Start!$B$7),0,IF(IFERROR(MATCH(B267,Start!A$253:A$273,0),0)&gt;0,VLOOKUP(B267,Start!A$253:F$273,3,FALSE)/100*Start!$B$4,VLOOKUP(WEEKDAY(B267,2),Start!A$240:F$246,4,FALSE))),"")</f>
        <v>0</v>
      </c>
      <c r="D267">
        <f>IFERROR(IF(OR(U267="Fri",U267="Ferie",U267="Syk",U267="Omsorg",B267&lt;Start!$F$7),0,IF(IFERROR(MATCH(B267,Start!A$253:A$273,0),0)&gt;0,VLOOKUP(B267,Start!A$253:F$273,3,FALSE)/100*Start!$F$4,VLOOKUP(WEEKDAY(B267,2),Start!A$240:F$246,6,FALSE))),"")</f>
        <v>0</v>
      </c>
      <c r="E267">
        <f t="shared" ca="1" si="252"/>
        <v>0</v>
      </c>
      <c r="F267">
        <f>IFERROR(IF(YEAR(B267)=Start!$B$1,MONTH(B267),""),"")</f>
        <v>5</v>
      </c>
      <c r="G267" s="64" t="str">
        <f>IFERROR(VLOOKUP(B267,Start!A$111:B$273,2,FALSE),"")</f>
        <v>2. pinsedag</v>
      </c>
      <c r="H267" s="21"/>
      <c r="I267" s="78">
        <v>0.33333333333333331</v>
      </c>
      <c r="J267" s="78">
        <v>0.33333333333333331</v>
      </c>
      <c r="K267" s="1" t="str">
        <f>IF(Start!$B$6="Ja","",IF(((J267-I267)*24)&gt;=5.5,"X",""))</f>
        <v/>
      </c>
      <c r="L267" s="1" t="str">
        <f>IF(_xlfn.IFNA(MATCH($A267,Start!$H$3:$H$11,0),0)&gt;0,"Ferie",IFERROR(IF(VLOOKUP(B267,Start!A$165:B$234,2,FALSE)&gt;0,"Fri",0),IF(AND((J267-I267)=0,Z267=""),"",MAX((IF(K267="X",(J267-I267)*24-0.5,(J267-I267)*24)),Z267))))</f>
        <v>Fri</v>
      </c>
      <c r="M267" s="58"/>
      <c r="N267" s="21" t="str">
        <f t="shared" ref="N267:N273" si="295">IF(H267=0,"",H267)</f>
        <v/>
      </c>
      <c r="O267" s="21" t="str">
        <f t="shared" ref="O267:O273" si="296">IF(L267=0,"",L267)</f>
        <v>Fri</v>
      </c>
      <c r="P267" s="2"/>
      <c r="Q267" s="21"/>
      <c r="R267" s="78">
        <v>0.33333333333333331</v>
      </c>
      <c r="S267" s="78">
        <v>0.33333333333333331</v>
      </c>
      <c r="T267" s="1" t="str">
        <f>IF(Start!$B$6="Ja","",IF(((S267-R267)*24)&gt;=5.5,"X",""))</f>
        <v/>
      </c>
      <c r="U267" s="1" t="str">
        <f>IF(_xlfn.IFNA(MATCH($A$15,Start!$H$3:$H$11,0),0)&gt;0,"Ferie",(IF(L267="fri","Fri",(IF(L267="syk","Syk",IF(L267="Ferie","Ferie",IF(AND((S267-R267)=0,AB267=""),"",MAX((IF(T267="X",(S267-R267)*24-0.5,(S267-R267)*24)),AB267))))))))</f>
        <v>Fri</v>
      </c>
      <c r="V267" s="58"/>
      <c r="W267" s="21" t="str">
        <f t="shared" ref="W267:W273" si="297">IF(Q267=0,"",Q267)</f>
        <v/>
      </c>
      <c r="X267" s="21" t="str">
        <f t="shared" ref="X267:X273" si="298">IF(U267=0,"",U267)</f>
        <v>Fri</v>
      </c>
      <c r="Z267" s="70" t="str">
        <f>IF(SUMIFS(TrackingTime!H:H,TrackingTime!F:F,Timer!B267,TrackingTime!C:C,"Hovedkontoret")&gt;0,SUMIFS(TrackingTime!H:H,TrackingTime!F:F,Timer!B267,TrackingTime!C:C,"Hovedkontoret"),"")</f>
        <v/>
      </c>
      <c r="AA267" s="71" t="str">
        <f t="shared" si="227"/>
        <v/>
      </c>
      <c r="AB267" t="str">
        <f>IF(SUMIFS(TrackingTime!H:H,TrackingTime!F:F,Timer!B267,TrackingTime!C:C,Start!$F$3)&gt;0,SUMIFS(TrackingTime!H:H,TrackingTime!F:F,Timer!B267,TrackingTime!C:C,Start!$F$3),"")</f>
        <v/>
      </c>
      <c r="AC267" s="71" t="str">
        <f t="shared" si="229"/>
        <v/>
      </c>
    </row>
    <row r="268" spans="1:29" x14ac:dyDescent="0.25">
      <c r="A268" s="15"/>
      <c r="B268" s="63">
        <f t="shared" ref="B268:B273" si="299">B267+DAY(1)</f>
        <v>46168</v>
      </c>
      <c r="C268" t="str">
        <f>IFERROR(IF(OR(L268="Fri",L268="Ferie",L268="Syk",L268="Omsorg",B268&lt;Start!$B$7),0,IF(IFERROR(MATCH(B268,Start!A$253:A$273,0),0)&gt;0,VLOOKUP(B268,Start!A$253:F$273,3,FALSE)/100*Start!$B$4,VLOOKUP(WEEKDAY(B268,2),Start!A$240:F$246,4,FALSE))),"")</f>
        <v/>
      </c>
      <c r="D268" t="str">
        <f>IFERROR(IF(OR(U268="Fri",U268="Ferie",U268="Syk",U268="Omsorg",B268&lt;Start!$F$7),0,IF(IFERROR(MATCH(B268,Start!A$253:A$273,0),0)&gt;0,VLOOKUP(B268,Start!A$253:F$273,3,FALSE)/100*Start!$F$4,VLOOKUP(WEEKDAY(B268,2),Start!A$240:F$246,6,FALSE))),"")</f>
        <v/>
      </c>
      <c r="E268">
        <f t="shared" ca="1" si="252"/>
        <v>0</v>
      </c>
      <c r="F268">
        <f>IFERROR(IF(YEAR(B268)=Start!$B$1,MONTH(B268),""),"")</f>
        <v>5</v>
      </c>
      <c r="G268" s="64" t="str">
        <f>IFERROR(VLOOKUP(B268,Start!A$111:B$273,2,FALSE),"")</f>
        <v/>
      </c>
      <c r="H268" s="21"/>
      <c r="I268" s="78">
        <v>0.33333333333333331</v>
      </c>
      <c r="J268" s="78">
        <v>0.33333333333333331</v>
      </c>
      <c r="K268" s="1" t="str">
        <f>IF(Start!$B$6="Ja","",IF(((J268-I268)*24)&gt;=5.5,"X",""))</f>
        <v/>
      </c>
      <c r="L268" s="1" t="str">
        <f>IF(_xlfn.IFNA(MATCH($A267,Start!$H$3:$H$11,0),0)&gt;0,"Ferie",IFERROR(IF(VLOOKUP($B268,Start!$A$165:$B$234,2,FALSE)&gt;0,"Fri",0),IF(AND((J268-I268)=0,Z268=""),"",MAX((IF(K268="X",(J268-I268)*24-0.5,(J268-I268)*24)),Z268))))</f>
        <v/>
      </c>
      <c r="M268" s="58"/>
      <c r="N268" s="21" t="str">
        <f t="shared" si="295"/>
        <v/>
      </c>
      <c r="O268" s="21" t="str">
        <f t="shared" si="296"/>
        <v/>
      </c>
      <c r="P268" s="2"/>
      <c r="Q268" s="21"/>
      <c r="R268" s="78">
        <v>0.33333333333333331</v>
      </c>
      <c r="S268" s="78">
        <v>0.33333333333333331</v>
      </c>
      <c r="T268" s="1" t="str">
        <f>IF(Start!$B$6="Ja","",IF(((S268-R268)*24)&gt;=5.5,"X",""))</f>
        <v/>
      </c>
      <c r="U268" s="1" t="str">
        <f>IF(_xlfn.IFNA(MATCH($A$15,Start!$H$3:$H$11,0),0)&gt;0,"Ferie",(IF(L268="fri","Fri",(IF(L268="syk","Syk",IF(L268="Ferie","Ferie",IF(AND((S268-R268)=0,AB268=""),"",MAX((IF(T268="X",(S268-R268)*24-0.5,(S268-R268)*24)),AB268))))))))</f>
        <v/>
      </c>
      <c r="V268" s="58"/>
      <c r="W268" s="21" t="str">
        <f t="shared" si="297"/>
        <v/>
      </c>
      <c r="X268" s="21" t="str">
        <f t="shared" si="298"/>
        <v/>
      </c>
      <c r="Z268" s="70" t="str">
        <f>IF(SUMIFS(TrackingTime!H:H,TrackingTime!F:F,Timer!B268,TrackingTime!C:C,"Hovedkontoret")&gt;0,SUMIFS(TrackingTime!H:H,TrackingTime!F:F,Timer!B268,TrackingTime!C:C,"Hovedkontoret"),"")</f>
        <v/>
      </c>
      <c r="AA268" s="71" t="str">
        <f t="shared" si="227"/>
        <v/>
      </c>
      <c r="AB268" t="str">
        <f>IF(SUMIFS(TrackingTime!H:H,TrackingTime!F:F,Timer!B268,TrackingTime!C:C,Start!$F$3)&gt;0,SUMIFS(TrackingTime!H:H,TrackingTime!F:F,Timer!B268,TrackingTime!C:C,Start!$F$3),"")</f>
        <v/>
      </c>
      <c r="AC268" s="71" t="str">
        <f t="shared" si="229"/>
        <v/>
      </c>
    </row>
    <row r="269" spans="1:29" x14ac:dyDescent="0.25">
      <c r="A269" s="15"/>
      <c r="B269" s="63">
        <f t="shared" si="299"/>
        <v>46169</v>
      </c>
      <c r="C269" t="str">
        <f>IFERROR(IF(OR(L269="Fri",L269="Ferie",L269="Syk",L269="Omsorg",B269&lt;Start!$B$7),0,IF(IFERROR(MATCH(B269,Start!A$253:A$273,0),0)&gt;0,VLOOKUP(B269,Start!A$253:F$273,3,FALSE)/100*Start!$B$4,VLOOKUP(WEEKDAY(B269,2),Start!A$240:F$246,4,FALSE))),"")</f>
        <v/>
      </c>
      <c r="D269" t="str">
        <f>IFERROR(IF(OR(U269="Fri",U269="Ferie",U269="Syk",U269="Omsorg",B269&lt;Start!$F$7),0,IF(IFERROR(MATCH(B269,Start!A$253:A$273,0),0)&gt;0,VLOOKUP(B269,Start!A$253:F$273,3,FALSE)/100*Start!$F$4,VLOOKUP(WEEKDAY(B269,2),Start!A$240:F$246,6,FALSE))),"")</f>
        <v/>
      </c>
      <c r="E269">
        <f t="shared" ca="1" si="252"/>
        <v>0</v>
      </c>
      <c r="F269">
        <f>IFERROR(IF(YEAR(B269)=Start!$B$1,MONTH(B269),""),"")</f>
        <v>5</v>
      </c>
      <c r="G269" s="64" t="str">
        <f>IFERROR(VLOOKUP(B269,Start!A$111:B$273,2,FALSE),"")</f>
        <v/>
      </c>
      <c r="H269" s="21"/>
      <c r="I269" s="78">
        <v>0.33333333333333331</v>
      </c>
      <c r="J269" s="78">
        <v>0.33333333333333331</v>
      </c>
      <c r="K269" s="1" t="str">
        <f>IF(Start!$B$6="Ja","",IF(((J269-I269)*24)&gt;=5.5,"X",""))</f>
        <v/>
      </c>
      <c r="L269" s="1" t="str">
        <f>IF(_xlfn.IFNA(MATCH($A267,Start!$H$3:$H$11,0),0)&gt;0,"Ferie",IFERROR(IF(VLOOKUP(B269,Start!A$165:B$234,2,FALSE)&gt;0,"Fri",0),IF(AND((J269-I269)=0,Z269=""),"",MAX((IF(K269="X",(J269-I269)*24-0.5,(J269-I269)*24)),Z269))))</f>
        <v/>
      </c>
      <c r="M269" s="58"/>
      <c r="N269" s="21" t="str">
        <f t="shared" si="295"/>
        <v/>
      </c>
      <c r="O269" s="21" t="str">
        <f t="shared" si="296"/>
        <v/>
      </c>
      <c r="P269" s="2"/>
      <c r="Q269" s="21"/>
      <c r="R269" s="78">
        <v>0.33333333333333331</v>
      </c>
      <c r="S269" s="78">
        <v>0.33333333333333331</v>
      </c>
      <c r="T269" s="1" t="str">
        <f>IF(Start!$B$6="Ja","",IF(((S269-R269)*24)&gt;=5.5,"X",""))</f>
        <v/>
      </c>
      <c r="U269" s="1" t="str">
        <f>IF(_xlfn.IFNA(MATCH($A$15,Start!$H$3:$H$11,0),0)&gt;0,"Ferie",(IF(L269="fri","Fri",(IF(L269="syk","Syk",IF(L269="Ferie","Ferie",IF(AND((S269-R269)=0,AB269=""),"",MAX((IF(T269="X",(S269-R269)*24-0.5,(S269-R269)*24)),AB269))))))))</f>
        <v/>
      </c>
      <c r="V269" s="58"/>
      <c r="W269" s="21" t="str">
        <f t="shared" si="297"/>
        <v/>
      </c>
      <c r="X269" s="21" t="str">
        <f t="shared" si="298"/>
        <v/>
      </c>
      <c r="Z269" s="70" t="str">
        <f>IF(SUMIFS(TrackingTime!H:H,TrackingTime!F:F,Timer!B269,TrackingTime!C:C,"Hovedkontoret")&gt;0,SUMIFS(TrackingTime!H:H,TrackingTime!F:F,Timer!B269,TrackingTime!C:C,"Hovedkontoret"),"")</f>
        <v/>
      </c>
      <c r="AA269" s="71" t="str">
        <f t="shared" si="227"/>
        <v/>
      </c>
      <c r="AB269" t="str">
        <f>IF(SUMIFS(TrackingTime!H:H,TrackingTime!F:F,Timer!B269,TrackingTime!C:C,Start!$F$3)&gt;0,SUMIFS(TrackingTime!H:H,TrackingTime!F:F,Timer!B269,TrackingTime!C:C,Start!$F$3),"")</f>
        <v/>
      </c>
      <c r="AC269" s="71" t="str">
        <f t="shared" si="229"/>
        <v/>
      </c>
    </row>
    <row r="270" spans="1:29" x14ac:dyDescent="0.25">
      <c r="A270" s="15"/>
      <c r="B270" s="63">
        <f t="shared" si="299"/>
        <v>46170</v>
      </c>
      <c r="C270" t="str">
        <f>IFERROR(IF(OR(L270="Fri",L270="Ferie",L270="Syk",L270="Omsorg",B270&lt;Start!$B$7),0,IF(IFERROR(MATCH(B270,Start!A$253:A$273,0),0)&gt;0,VLOOKUP(B270,Start!A$253:F$273,3,FALSE)/100*Start!$B$4,VLOOKUP(WEEKDAY(B270,2),Start!A$240:F$246,4,FALSE))),"")</f>
        <v/>
      </c>
      <c r="D270" t="str">
        <f>IFERROR(IF(OR(U270="Fri",U270="Ferie",U270="Syk",U270="Omsorg",B270&lt;Start!$F$7),0,IF(IFERROR(MATCH(B270,Start!A$253:A$273,0),0)&gt;0,VLOOKUP(B270,Start!A$253:F$273,3,FALSE)/100*Start!$F$4,VLOOKUP(WEEKDAY(B270,2),Start!A$240:F$246,6,FALSE))),"")</f>
        <v/>
      </c>
      <c r="E270">
        <f t="shared" ca="1" si="252"/>
        <v>0</v>
      </c>
      <c r="F270">
        <f>IFERROR(IF(YEAR(B270)=Start!$B$1,MONTH(B270),""),"")</f>
        <v>5</v>
      </c>
      <c r="G270" s="64" t="str">
        <f>IFERROR(VLOOKUP(B270,Start!A$111:B$273,2,FALSE),"")</f>
        <v/>
      </c>
      <c r="H270" s="21"/>
      <c r="I270" s="78">
        <v>0.33333333333333331</v>
      </c>
      <c r="J270" s="78">
        <v>0.33333333333333331</v>
      </c>
      <c r="K270" s="1" t="str">
        <f>IF(Start!$B$6="Ja","",IF(((J270-I270)*24)&gt;=5.5,"X",""))</f>
        <v/>
      </c>
      <c r="L270" s="1" t="str">
        <f>IF(_xlfn.IFNA(MATCH($A267,Start!$H$3:$H$11,0),0)&gt;0,"Ferie",IFERROR(IF(VLOOKUP(B270,Start!A$165:B$234,2,FALSE)&gt;0,"Fri",0),IF(AND((J270-I270)=0,Z270=""),"",MAX((IF(K270="X",(J270-I270)*24-0.5,(J270-I270)*24)),Z270))))</f>
        <v/>
      </c>
      <c r="M270" s="58"/>
      <c r="N270" s="21" t="str">
        <f t="shared" si="295"/>
        <v/>
      </c>
      <c r="O270" s="21" t="str">
        <f t="shared" si="296"/>
        <v/>
      </c>
      <c r="P270" s="2"/>
      <c r="Q270" s="21"/>
      <c r="R270" s="78">
        <v>0.33333333333333331</v>
      </c>
      <c r="S270" s="78">
        <v>0.33333333333333331</v>
      </c>
      <c r="T270" s="1" t="str">
        <f>IF(Start!$B$6="Ja","",IF(((S270-R270)*24)&gt;=5.5,"X",""))</f>
        <v/>
      </c>
      <c r="U270" s="1" t="str">
        <f>IF(_xlfn.IFNA(MATCH($A$15,Start!$H$3:$H$11,0),0)&gt;0,"Ferie",(IF(L270="fri","Fri",(IF(L270="syk","Syk",IF(L270="Ferie","Ferie",IF(AND((S270-R270)=0,AB270=""),"",MAX((IF(T270="X",(S270-R270)*24-0.5,(S270-R270)*24)),AB270))))))))</f>
        <v/>
      </c>
      <c r="V270" s="58"/>
      <c r="W270" s="21" t="str">
        <f t="shared" si="297"/>
        <v/>
      </c>
      <c r="X270" s="21" t="str">
        <f t="shared" si="298"/>
        <v/>
      </c>
      <c r="Z270" s="70" t="str">
        <f>IF(SUMIFS(TrackingTime!H:H,TrackingTime!F:F,Timer!B270,TrackingTime!C:C,"Hovedkontoret")&gt;0,SUMIFS(TrackingTime!H:H,TrackingTime!F:F,Timer!B270,TrackingTime!C:C,"Hovedkontoret"),"")</f>
        <v/>
      </c>
      <c r="AA270" s="71" t="str">
        <f t="shared" si="227"/>
        <v/>
      </c>
      <c r="AB270" t="str">
        <f>IF(SUMIFS(TrackingTime!H:H,TrackingTime!F:F,Timer!B270,TrackingTime!C:C,Start!$F$3)&gt;0,SUMIFS(TrackingTime!H:H,TrackingTime!F:F,Timer!B270,TrackingTime!C:C,Start!$F$3),"")</f>
        <v/>
      </c>
      <c r="AC270" s="71" t="str">
        <f t="shared" si="229"/>
        <v/>
      </c>
    </row>
    <row r="271" spans="1:29" x14ac:dyDescent="0.25">
      <c r="A271" s="15"/>
      <c r="B271" s="63">
        <f t="shared" si="299"/>
        <v>46171</v>
      </c>
      <c r="C271" t="str">
        <f>IFERROR(IF(OR(L271="Fri",L271="Ferie",L271="Syk",L271="Omsorg",B271&lt;Start!$B$7),0,IF(IFERROR(MATCH(B271,Start!A$253:A$273,0),0)&gt;0,VLOOKUP(B271,Start!A$253:F$273,3,FALSE)/100*Start!$B$4,VLOOKUP(WEEKDAY(B271,2),Start!A$240:F$246,4,FALSE))),"")</f>
        <v/>
      </c>
      <c r="D271" t="str">
        <f>IFERROR(IF(OR(U271="Fri",U271="Ferie",U271="Syk",U271="Omsorg",B271&lt;Start!$F$7),0,IF(IFERROR(MATCH(B271,Start!A$253:A$273,0),0)&gt;0,VLOOKUP(B271,Start!A$253:F$273,3,FALSE)/100*Start!$F$4,VLOOKUP(WEEKDAY(B271,2),Start!A$240:F$246,6,FALSE))),"")</f>
        <v/>
      </c>
      <c r="E271">
        <f t="shared" ca="1" si="252"/>
        <v>0</v>
      </c>
      <c r="F271">
        <f>IFERROR(IF(YEAR(B271)=Start!$B$1,MONTH(B271),""),"")</f>
        <v>5</v>
      </c>
      <c r="G271" s="64" t="str">
        <f>IFERROR(VLOOKUP(B271,Start!A$111:B$273,2,FALSE),"")</f>
        <v/>
      </c>
      <c r="H271" s="21"/>
      <c r="I271" s="78">
        <v>0.33333333333333331</v>
      </c>
      <c r="J271" s="78">
        <v>0.33333333333333331</v>
      </c>
      <c r="K271" s="1" t="str">
        <f>IF(Start!$B$6="Ja","",IF(((J271-I271)*24)&gt;=5.5,"X",""))</f>
        <v/>
      </c>
      <c r="L271" s="1" t="str">
        <f>IF(_xlfn.IFNA(MATCH($A267,Start!$H$3:$H$11,0),0)&gt;0,"Ferie",IFERROR(IF(VLOOKUP(B271,Start!A$165:B$234,2,FALSE)&gt;0,"Fri",0),IF(AND((J271-I271)=0,Z271=""),"",MAX((IF(K271="X",(J271-I271)*24-0.5,(J271-I271)*24)),Z271))))</f>
        <v/>
      </c>
      <c r="M271" s="58"/>
      <c r="N271" s="21" t="str">
        <f t="shared" si="295"/>
        <v/>
      </c>
      <c r="O271" s="21" t="str">
        <f t="shared" si="296"/>
        <v/>
      </c>
      <c r="P271" s="2"/>
      <c r="Q271" s="21"/>
      <c r="R271" s="78">
        <v>0.33333333333333331</v>
      </c>
      <c r="S271" s="78">
        <v>0.33333333333333331</v>
      </c>
      <c r="T271" s="1" t="str">
        <f>IF(Start!$B$6="Ja","",IF(((S271-R271)*24)&gt;=5.5,"X",""))</f>
        <v/>
      </c>
      <c r="U271" s="1" t="str">
        <f>IF(_xlfn.IFNA(MATCH($A$15,Start!$H$3:$H$11,0),0)&gt;0,"Ferie",(IF(L271="fri","Fri",(IF(L271="syk","Syk",IF(L271="Ferie","Ferie",IF(AND((S271-R271)=0,AB271=""),"",MAX((IF(T271="X",(S271-R271)*24-0.5,(S271-R271)*24)),AB271))))))))</f>
        <v/>
      </c>
      <c r="V271" s="58"/>
      <c r="W271" s="21" t="str">
        <f t="shared" si="297"/>
        <v/>
      </c>
      <c r="X271" s="21" t="str">
        <f t="shared" si="298"/>
        <v/>
      </c>
      <c r="Z271" s="70" t="str">
        <f>IF(SUMIFS(TrackingTime!H:H,TrackingTime!F:F,Timer!B271,TrackingTime!C:C,"Hovedkontoret")&gt;0,SUMIFS(TrackingTime!H:H,TrackingTime!F:F,Timer!B271,TrackingTime!C:C,"Hovedkontoret"),"")</f>
        <v/>
      </c>
      <c r="AA271" s="71" t="str">
        <f t="shared" ref="AA271:AA334" si="300">IFERROR(Z271/24,"")</f>
        <v/>
      </c>
      <c r="AB271" t="str">
        <f>IF(SUMIFS(TrackingTime!H:H,TrackingTime!F:F,Timer!B271,TrackingTime!C:C,Start!$F$3)&gt;0,SUMIFS(TrackingTime!H:H,TrackingTime!F:F,Timer!B271,TrackingTime!C:C,Start!$F$3),"")</f>
        <v/>
      </c>
      <c r="AC271" s="71" t="str">
        <f t="shared" si="229"/>
        <v/>
      </c>
    </row>
    <row r="272" spans="1:29" x14ac:dyDescent="0.25">
      <c r="A272" s="15"/>
      <c r="B272" s="63">
        <f t="shared" si="299"/>
        <v>46172</v>
      </c>
      <c r="C272">
        <f>IFERROR(IF(OR(L272="Fri",L272="Ferie",L272="Syk",L272="Omsorg",B272&lt;Start!$B$7),0,IF(IFERROR(MATCH(B272,Start!A$253:A$273,0),0)&gt;0,VLOOKUP(B272,Start!A$253:F$273,3,FALSE)/100*Start!$B$4,VLOOKUP(WEEKDAY(B272,2),Start!A$240:F$246,4,FALSE))),"")</f>
        <v>0</v>
      </c>
      <c r="D272">
        <f>IFERROR(IF(OR(U272="Fri",U272="Ferie",U272="Syk",U272="Omsorg",B272&lt;Start!$F$7),0,IF(IFERROR(MATCH(B272,Start!A$253:A$273,0),0)&gt;0,VLOOKUP(B272,Start!A$253:F$273,3,FALSE)/100*Start!$F$4,VLOOKUP(WEEKDAY(B272,2),Start!A$240:F$246,6,FALSE))),"")</f>
        <v>0</v>
      </c>
      <c r="E272">
        <f t="shared" ca="1" si="252"/>
        <v>0</v>
      </c>
      <c r="F272">
        <f>IFERROR(IF(YEAR(B272)=Start!$B$1,MONTH(B272),""),"")</f>
        <v>5</v>
      </c>
      <c r="G272" s="64" t="str">
        <f>IFERROR(VLOOKUP(B272,Start!A$111:B$273,2,FALSE),"")</f>
        <v/>
      </c>
      <c r="H272" s="21"/>
      <c r="I272" s="78">
        <v>0.41666666666666669</v>
      </c>
      <c r="J272" s="78">
        <v>0.41666666666666669</v>
      </c>
      <c r="K272" s="1" t="str">
        <f>IF(Start!$B$6="Ja","",IF(((J272-I272)*24)&gt;=5.5,"X",""))</f>
        <v/>
      </c>
      <c r="L272" s="1" t="str">
        <f t="shared" ref="L272:L273" si="301">IF(AND((J272-I272)=0,Z272=""),"",MAX((IF(K272="X",(J272-I272)*24-0.5,(J272-I272)*24)),Z272))</f>
        <v/>
      </c>
      <c r="M272" s="58"/>
      <c r="N272" s="21" t="str">
        <f t="shared" si="295"/>
        <v/>
      </c>
      <c r="O272" s="21" t="str">
        <f t="shared" si="296"/>
        <v/>
      </c>
      <c r="P272" s="2"/>
      <c r="Q272" s="21"/>
      <c r="R272" s="78">
        <v>0.41666666666666669</v>
      </c>
      <c r="S272" s="78">
        <v>0.41666666666666669</v>
      </c>
      <c r="T272" s="1" t="str">
        <f>IF(Start!$B$6="Ja","",IF(((S272-R272)*24)&gt;=5.5,"X",""))</f>
        <v/>
      </c>
      <c r="U272" s="1" t="str">
        <f t="shared" ref="U272:U273" si="302">IF(AND((S272-R272)=0,AB272=""),"",MAX((IF(T272="X",(S272-R272)*24-0.5,(S272-R272)*24)),AB272))</f>
        <v/>
      </c>
      <c r="V272" s="58"/>
      <c r="W272" s="21" t="str">
        <f t="shared" si="297"/>
        <v/>
      </c>
      <c r="X272" s="21" t="str">
        <f t="shared" si="298"/>
        <v/>
      </c>
      <c r="Z272" s="70" t="str">
        <f>IF(SUMIFS(TrackingTime!H:H,TrackingTime!F:F,Timer!B272,TrackingTime!C:C,"Hovedkontoret")&gt;0,SUMIFS(TrackingTime!H:H,TrackingTime!F:F,Timer!B272,TrackingTime!C:C,"Hovedkontoret"),"")</f>
        <v/>
      </c>
      <c r="AA272" s="71" t="str">
        <f t="shared" si="300"/>
        <v/>
      </c>
      <c r="AB272" t="str">
        <f>IF(SUMIFS(TrackingTime!H:H,TrackingTime!F:F,Timer!B272,TrackingTime!C:C,Start!$F$3)&gt;0,SUMIFS(TrackingTime!H:H,TrackingTime!F:F,Timer!B272,TrackingTime!C:C,Start!$F$3),"")</f>
        <v/>
      </c>
      <c r="AC272" s="71" t="str">
        <f t="shared" ref="AC272:AC335" si="303">IFERROR(AB272/24,"")</f>
        <v/>
      </c>
    </row>
    <row r="273" spans="1:29" x14ac:dyDescent="0.25">
      <c r="A273" s="15"/>
      <c r="B273" s="63">
        <f t="shared" si="299"/>
        <v>46173</v>
      </c>
      <c r="C273">
        <f>IFERROR(IF(OR(L273="Fri",L273="Ferie",L273="Syk",L273="Omsorg",B273&lt;Start!$B$7),0,IF(IFERROR(MATCH(B273,Start!A$253:A$273,0),0)&gt;0,VLOOKUP(B273,Start!A$253:F$273,3,FALSE)/100*Start!$B$4,VLOOKUP(WEEKDAY(B273,2),Start!A$240:F$246,4,FALSE))),"")</f>
        <v>0</v>
      </c>
      <c r="D273">
        <f>IFERROR(IF(OR(U273="Fri",U273="Ferie",U273="Syk",U273="Omsorg",B273&lt;Start!$F$7),0,IF(IFERROR(MATCH(B273,Start!A$253:A$273,0),0)&gt;0,VLOOKUP(B273,Start!A$253:F$273,3,FALSE)/100*Start!$F$4,VLOOKUP(WEEKDAY(B273,2),Start!A$240:F$246,6,FALSE))),"")</f>
        <v>0</v>
      </c>
      <c r="E273">
        <f t="shared" ca="1" si="252"/>
        <v>0</v>
      </c>
      <c r="F273">
        <f>IFERROR(IF(YEAR(B273)=Start!$B$1,MONTH(B273),""),"")</f>
        <v>5</v>
      </c>
      <c r="G273" s="64" t="str">
        <f>IFERROR(VLOOKUP(B273,Start!A$111:B$273,2,FALSE),"")</f>
        <v/>
      </c>
      <c r="H273" s="25"/>
      <c r="I273" s="78">
        <v>0.41666666666666669</v>
      </c>
      <c r="J273" s="78">
        <v>0.41666666666666669</v>
      </c>
      <c r="K273" s="1" t="str">
        <f>IF(Start!$B$6="Ja","",IF(((J273-I273)*24)&gt;=5.5,"X",""))</f>
        <v/>
      </c>
      <c r="L273" s="1" t="str">
        <f t="shared" si="301"/>
        <v/>
      </c>
      <c r="M273" s="58"/>
      <c r="N273" s="21" t="str">
        <f t="shared" si="295"/>
        <v/>
      </c>
      <c r="O273" s="21" t="str">
        <f t="shared" si="296"/>
        <v/>
      </c>
      <c r="Q273" s="25"/>
      <c r="R273" s="78">
        <v>0.41666666666666669</v>
      </c>
      <c r="S273" s="78">
        <v>0.41666666666666669</v>
      </c>
      <c r="T273" s="1" t="str">
        <f>IF(Start!$B$6="Ja","",IF(((S273-R273)*24)&gt;=5.5,"X",""))</f>
        <v/>
      </c>
      <c r="U273" s="1" t="str">
        <f t="shared" si="302"/>
        <v/>
      </c>
      <c r="V273" s="58"/>
      <c r="W273" s="21" t="str">
        <f t="shared" si="297"/>
        <v/>
      </c>
      <c r="X273" s="21" t="str">
        <f t="shared" si="298"/>
        <v/>
      </c>
      <c r="Z273" s="70" t="str">
        <f>IF(SUMIFS(TrackingTime!H:H,TrackingTime!F:F,Timer!B273,TrackingTime!C:C,"Hovedkontoret")&gt;0,SUMIFS(TrackingTime!H:H,TrackingTime!F:F,Timer!B273,TrackingTime!C:C,"Hovedkontoret"),"")</f>
        <v/>
      </c>
      <c r="AA273" s="71" t="str">
        <f t="shared" si="300"/>
        <v/>
      </c>
      <c r="AB273" t="str">
        <f>IF(SUMIFS(TrackingTime!H:H,TrackingTime!F:F,Timer!B273,TrackingTime!C:C,Start!$F$3)&gt;0,SUMIFS(TrackingTime!H:H,TrackingTime!F:F,Timer!B273,TrackingTime!C:C,Start!$F$3),"")</f>
        <v/>
      </c>
      <c r="AC273" s="71" t="str">
        <f t="shared" si="303"/>
        <v/>
      </c>
    </row>
    <row r="274" spans="1:29" x14ac:dyDescent="0.25">
      <c r="A274" s="15"/>
      <c r="B274" s="4" t="s">
        <v>11</v>
      </c>
      <c r="C274" s="24"/>
      <c r="D274" s="24"/>
      <c r="E274" s="24">
        <f t="shared" ca="1" si="252"/>
        <v>0</v>
      </c>
      <c r="F274" s="24" t="str">
        <f>IFERROR(IF(YEAR(B274)=Start!$B$1,MONTH(B274),""),"")</f>
        <v/>
      </c>
      <c r="G274" s="64" t="str">
        <f>IFERROR(VLOOKUP(B274,Start!A$111:B$273,2,FALSE),"")</f>
        <v/>
      </c>
      <c r="H274" s="4"/>
      <c r="I274" s="4"/>
      <c r="J274" s="4"/>
      <c r="K274" s="4"/>
      <c r="L274" s="5">
        <f t="shared" si="260"/>
        <v>0</v>
      </c>
      <c r="N274" s="24"/>
      <c r="O274" s="39">
        <f t="shared" ref="O274" si="304">SUM(O267:O273)</f>
        <v>0</v>
      </c>
      <c r="P274" s="40"/>
      <c r="Q274" s="41"/>
      <c r="R274" s="4"/>
      <c r="S274" s="4"/>
      <c r="T274" s="4"/>
      <c r="U274" s="5">
        <f t="shared" ref="U274" si="305">SUM($U267:$U273)</f>
        <v>0</v>
      </c>
      <c r="V274" s="58"/>
      <c r="W274" s="39"/>
      <c r="X274" s="39">
        <f t="shared" si="247"/>
        <v>0</v>
      </c>
      <c r="Z274" s="70" t="str">
        <f>IF(SUMIFS(TrackingTime!H:H,TrackingTime!F:F,Timer!B274,TrackingTime!C:C,"Hovedkontoret")&gt;0,SUMIFS(TrackingTime!H:H,TrackingTime!F:F,Timer!B274,TrackingTime!C:C,"Hovedkontoret"),"")</f>
        <v/>
      </c>
      <c r="AA274" s="71" t="str">
        <f t="shared" si="300"/>
        <v/>
      </c>
      <c r="AB274" t="str">
        <f>IF(SUMIFS(TrackingTime!H:H,TrackingTime!F:F,Timer!B274,TrackingTime!C:C,Start!$F$3)&gt;0,SUMIFS(TrackingTime!H:H,TrackingTime!F:F,Timer!B274,TrackingTime!C:C,Start!$F$3),"")</f>
        <v/>
      </c>
      <c r="AC274" s="71" t="str">
        <f t="shared" si="303"/>
        <v/>
      </c>
    </row>
    <row r="275" spans="1:29" x14ac:dyDescent="0.25">
      <c r="A275" s="15"/>
      <c r="B275" t="s">
        <v>90</v>
      </c>
      <c r="E275">
        <f t="shared" ca="1" si="252"/>
        <v>0</v>
      </c>
      <c r="F275" t="str">
        <f>IFERROR(IF(YEAR(B275)=Start!$B$1,MONTH(B275),""),"")</f>
        <v/>
      </c>
      <c r="G275" s="64" t="str">
        <f>IFERROR(VLOOKUP(B275,Start!A$111:B$273,2,FALSE),"")</f>
        <v/>
      </c>
      <c r="L275" s="1">
        <f t="shared" si="263"/>
        <v>0</v>
      </c>
      <c r="M275" s="1"/>
      <c r="N275" s="1"/>
      <c r="O275" s="21">
        <f t="shared" ref="O275" si="306">L275</f>
        <v>0</v>
      </c>
      <c r="P275" s="40"/>
      <c r="Q275" s="21"/>
      <c r="U275" s="1">
        <f t="shared" ref="U275" si="307">SUMIFS(D267:D273,F267:F273,"&gt;0")</f>
        <v>0</v>
      </c>
      <c r="V275" s="1"/>
      <c r="W275" s="1"/>
      <c r="X275" s="21">
        <f>U275</f>
        <v>0</v>
      </c>
      <c r="Z275" s="70" t="str">
        <f>IF(SUMIFS(TrackingTime!H:H,TrackingTime!F:F,Timer!B275,TrackingTime!C:C,"Hovedkontoret")&gt;0,SUMIFS(TrackingTime!H:H,TrackingTime!F:F,Timer!B275,TrackingTime!C:C,"Hovedkontoret"),"")</f>
        <v/>
      </c>
      <c r="AA275" s="71" t="str">
        <f t="shared" si="300"/>
        <v/>
      </c>
      <c r="AB275" t="str">
        <f>IF(SUMIFS(TrackingTime!H:H,TrackingTime!F:F,Timer!B275,TrackingTime!C:C,Start!$F$3)&gt;0,SUMIFS(TrackingTime!H:H,TrackingTime!F:F,Timer!B275,TrackingTime!C:C,Start!$F$3),"")</f>
        <v/>
      </c>
      <c r="AC275" s="71" t="str">
        <f t="shared" si="303"/>
        <v/>
      </c>
    </row>
    <row r="276" spans="1:29" x14ac:dyDescent="0.25">
      <c r="A276" s="16">
        <f>B273-B267-1</f>
        <v>5</v>
      </c>
      <c r="B276" t="s">
        <v>117</v>
      </c>
      <c r="E276">
        <f t="shared" ca="1" si="252"/>
        <v>0</v>
      </c>
      <c r="F276" t="str">
        <f>IFERROR(IF(YEAR(B276)=Start!$B$1,MONTH(B276),""),"")</f>
        <v/>
      </c>
      <c r="G276" s="64" t="str">
        <f>IFERROR(VLOOKUP(B276,Start!A$111:B$273,2,FALSE),"")</f>
        <v/>
      </c>
      <c r="L276" s="77">
        <f t="shared" ca="1" si="266"/>
        <v>0</v>
      </c>
      <c r="O276" s="21">
        <f t="shared" ref="O276" si="308">O274-O275</f>
        <v>0</v>
      </c>
      <c r="P276" s="21"/>
      <c r="Q276" s="21"/>
      <c r="U276" s="1">
        <f t="shared" ref="U276" ca="1" si="309">U274-U275*(IF(NETWORKDAYS($B267,TODAY())&lt;0,0,IF(NETWORKDAYS($B267,TODAY())&lt;=$A276,NETWORKDAYS($B267,TODAY()),$A276)))/$A276</f>
        <v>0</v>
      </c>
      <c r="V276" s="58"/>
      <c r="W276" s="21"/>
      <c r="X276" s="21">
        <f>X274-X275</f>
        <v>0</v>
      </c>
      <c r="Z276" s="70" t="str">
        <f>IF(SUMIFS(TrackingTime!H:H,TrackingTime!F:F,Timer!B276,TrackingTime!C:C,"Hovedkontoret")&gt;0,SUMIFS(TrackingTime!H:H,TrackingTime!F:F,Timer!B276,TrackingTime!C:C,"Hovedkontoret"),"")</f>
        <v/>
      </c>
      <c r="AA276" s="71" t="str">
        <f t="shared" si="300"/>
        <v/>
      </c>
      <c r="AB276" t="str">
        <f>IF(SUMIFS(TrackingTime!H:H,TrackingTime!F:F,Timer!B276,TrackingTime!C:C,Start!$F$3)&gt;0,SUMIFS(TrackingTime!H:H,TrackingTime!F:F,Timer!B276,TrackingTime!C:C,Start!$F$3),"")</f>
        <v/>
      </c>
      <c r="AC276" s="71" t="str">
        <f t="shared" si="303"/>
        <v/>
      </c>
    </row>
    <row r="277" spans="1:29" x14ac:dyDescent="0.25">
      <c r="A277" s="15"/>
      <c r="E277">
        <f t="shared" ca="1" si="252"/>
        <v>1</v>
      </c>
      <c r="F277" t="str">
        <f>IFERROR(IF(YEAR(B277)=Start!$B$1,MONTH(B277),""),"")</f>
        <v/>
      </c>
      <c r="G277" s="64" t="str">
        <f>IFERROR(VLOOKUP(B277,Start!A$111:B$273,2,FALSE),"")</f>
        <v/>
      </c>
      <c r="O277" s="2"/>
      <c r="P277" s="2"/>
      <c r="U277" s="1"/>
      <c r="V277" s="7"/>
      <c r="X277" s="2"/>
      <c r="Z277" s="70" t="str">
        <f>IF(SUMIFS(TrackingTime!H:H,TrackingTime!F:F,Timer!B277,TrackingTime!C:C,"Hovedkontoret")&gt;0,SUMIFS(TrackingTime!H:H,TrackingTime!F:F,Timer!B277,TrackingTime!C:C,"Hovedkontoret"),"")</f>
        <v/>
      </c>
      <c r="AA277" s="71" t="str">
        <f t="shared" si="300"/>
        <v/>
      </c>
      <c r="AB277" t="str">
        <f>IF(SUMIFS(TrackingTime!H:H,TrackingTime!F:F,Timer!B277,TrackingTime!C:C,Start!$F$3)&gt;0,SUMIFS(TrackingTime!H:H,TrackingTime!F:F,Timer!B277,TrackingTime!C:C,Start!$F$3),"")</f>
        <v/>
      </c>
      <c r="AC277" s="71" t="str">
        <f t="shared" si="303"/>
        <v/>
      </c>
    </row>
    <row r="278" spans="1:29" x14ac:dyDescent="0.25">
      <c r="A278" s="2" t="s">
        <v>82</v>
      </c>
      <c r="B278" s="14" t="s">
        <v>83</v>
      </c>
      <c r="E278">
        <f t="shared" ca="1" si="252"/>
        <v>0</v>
      </c>
      <c r="F278" t="str">
        <f>IFERROR(IF(YEAR(B278)=Start!$B$1,MONTH(B278),""),"")</f>
        <v/>
      </c>
      <c r="G278" s="64" t="str">
        <f>IFERROR(VLOOKUP(B278,Start!A$111:B$273,2,FALSE),"")</f>
        <v/>
      </c>
      <c r="H278" s="2" t="s">
        <v>86</v>
      </c>
      <c r="I278" s="2" t="s">
        <v>125</v>
      </c>
      <c r="J278" s="2" t="s">
        <v>126</v>
      </c>
      <c r="K278" s="2" t="s">
        <v>127</v>
      </c>
      <c r="L278" s="3" t="s">
        <v>87</v>
      </c>
      <c r="M278" s="6"/>
      <c r="N278" s="2" t="s">
        <v>88</v>
      </c>
      <c r="O278" s="2" t="s">
        <v>89</v>
      </c>
      <c r="P278" s="2"/>
      <c r="Q278" s="2" t="s">
        <v>86</v>
      </c>
      <c r="R278" s="2" t="s">
        <v>125</v>
      </c>
      <c r="S278" s="2" t="s">
        <v>126</v>
      </c>
      <c r="T278" s="2" t="s">
        <v>127</v>
      </c>
      <c r="U278" s="3" t="s">
        <v>87</v>
      </c>
      <c r="V278" s="6"/>
      <c r="W278" s="2" t="s">
        <v>88</v>
      </c>
      <c r="X278" s="2" t="s">
        <v>89</v>
      </c>
      <c r="Z278" s="70" t="str">
        <f>IF(SUMIFS(TrackingTime!H:H,TrackingTime!F:F,Timer!B278,TrackingTime!C:C,"Hovedkontoret")&gt;0,SUMIFS(TrackingTime!H:H,TrackingTime!F:F,Timer!B278,TrackingTime!C:C,"Hovedkontoret"),"")</f>
        <v/>
      </c>
      <c r="AA278" s="71" t="str">
        <f t="shared" si="300"/>
        <v/>
      </c>
      <c r="AB278" t="str">
        <f>IF(SUMIFS(TrackingTime!H:H,TrackingTime!F:F,Timer!B278,TrackingTime!C:C,Start!$F$3)&gt;0,SUMIFS(TrackingTime!H:H,TrackingTime!F:F,Timer!B278,TrackingTime!C:C,Start!$F$3),"")</f>
        <v/>
      </c>
      <c r="AC278" s="71" t="str">
        <f t="shared" si="303"/>
        <v/>
      </c>
    </row>
    <row r="279" spans="1:29" x14ac:dyDescent="0.25">
      <c r="A279" s="15">
        <f>WEEKNUM(B279,21)</f>
        <v>23</v>
      </c>
      <c r="B279" s="63">
        <f>B273+(DAY(1))</f>
        <v>46174</v>
      </c>
      <c r="C279" t="str">
        <f>IFERROR(IF(OR(L279="Fri",L279="Ferie",L279="Syk",L279="Omsorg",B279&lt;Start!$B$7),0,IF(IFERROR(MATCH(B279,Start!A$253:A$273,0),0)&gt;0,VLOOKUP(B279,Start!A$253:F$273,3,FALSE)/100*Start!$B$4,VLOOKUP(WEEKDAY(B279,2),Start!A$240:F$246,4,FALSE))),"")</f>
        <v/>
      </c>
      <c r="D279" t="str">
        <f>IFERROR(IF(OR(U279="Fri",U279="Ferie",U279="Syk",U279="Omsorg",B279&lt;Start!$F$7),0,IF(IFERROR(MATCH(B279,Start!A$253:A$273,0),0)&gt;0,VLOOKUP(B279,Start!A$253:F$273,3,FALSE)/100*Start!$F$4,VLOOKUP(WEEKDAY(B279,2),Start!A$240:F$246,6,FALSE))),"")</f>
        <v/>
      </c>
      <c r="E279">
        <f t="shared" ca="1" si="252"/>
        <v>0</v>
      </c>
      <c r="F279">
        <f>IFERROR(IF(YEAR(B279)=Start!$B$1,MONTH(B279),""),"")</f>
        <v>6</v>
      </c>
      <c r="G279" s="64" t="str">
        <f>IFERROR(VLOOKUP(B279,Start!A$111:B$273,2,FALSE),"")</f>
        <v/>
      </c>
      <c r="H279" s="21"/>
      <c r="I279" s="78">
        <v>0.33333333333333331</v>
      </c>
      <c r="J279" s="78">
        <v>0.33333333333333331</v>
      </c>
      <c r="K279" s="1" t="str">
        <f>IF(Start!$B$6="Ja","",IF(((J279-I279)*24)&gt;=5.5,"X",""))</f>
        <v/>
      </c>
      <c r="L279" s="1" t="str">
        <f>IF(_xlfn.IFNA(MATCH($A279,Start!$H$3:$H$11,0),0)&gt;0,"Ferie",IFERROR(IF(VLOOKUP(B279,Start!A$165:B$234,2,FALSE)&gt;0,"Fri",0),IF(AND((J279-I279)=0,Z279=""),"",MAX((IF(K279="X",(J279-I279)*24-0.5,(J279-I279)*24)),Z279))))</f>
        <v/>
      </c>
      <c r="M279" s="58"/>
      <c r="N279" s="21" t="str">
        <f t="shared" ref="N279:N285" si="310">IF(H279=0,"",H279)</f>
        <v/>
      </c>
      <c r="O279" s="21" t="str">
        <f t="shared" ref="O279:O285" si="311">IF(L279=0,"",L279)</f>
        <v/>
      </c>
      <c r="P279" s="2"/>
      <c r="Q279" s="21"/>
      <c r="R279" s="78">
        <v>0.33333333333333331</v>
      </c>
      <c r="S279" s="78">
        <v>0.33333333333333331</v>
      </c>
      <c r="T279" s="1" t="str">
        <f>IF(Start!$B$6="Ja","",IF(((S279-R279)*24)&gt;=5.5,"X",""))</f>
        <v/>
      </c>
      <c r="U279" s="1" t="str">
        <f>IF(_xlfn.IFNA(MATCH($A$15,Start!$H$3:$H$11,0),0)&gt;0,"Ferie",(IF(L279="fri","Fri",(IF(L279="syk","Syk",IF(L279="Ferie","Ferie",IF(AND((S279-R279)=0,AB279=""),"",MAX((IF(T279="X",(S279-R279)*24-0.5,(S279-R279)*24)),AB279))))))))</f>
        <v/>
      </c>
      <c r="V279" s="58"/>
      <c r="W279" s="21" t="str">
        <f t="shared" ref="W279:W285" si="312">IF(Q279=0,"",Q279)</f>
        <v/>
      </c>
      <c r="X279" s="21" t="str">
        <f t="shared" ref="X279:X285" si="313">IF(U279=0,"",U279)</f>
        <v/>
      </c>
      <c r="Z279" s="70" t="str">
        <f>IF(SUMIFS(TrackingTime!H:H,TrackingTime!F:F,Timer!B279,TrackingTime!C:C,"Hovedkontoret")&gt;0,SUMIFS(TrackingTime!H:H,TrackingTime!F:F,Timer!B279,TrackingTime!C:C,"Hovedkontoret"),"")</f>
        <v/>
      </c>
      <c r="AA279" s="71" t="str">
        <f t="shared" si="300"/>
        <v/>
      </c>
      <c r="AB279" t="str">
        <f>IF(SUMIFS(TrackingTime!H:H,TrackingTime!F:F,Timer!B279,TrackingTime!C:C,Start!$F$3)&gt;0,SUMIFS(TrackingTime!H:H,TrackingTime!F:F,Timer!B279,TrackingTime!C:C,Start!$F$3),"")</f>
        <v/>
      </c>
      <c r="AC279" s="71" t="str">
        <f t="shared" si="303"/>
        <v/>
      </c>
    </row>
    <row r="280" spans="1:29" x14ac:dyDescent="0.25">
      <c r="A280" s="15"/>
      <c r="B280" s="63">
        <f t="shared" ref="B280:B285" si="314">B279+DAY(1)</f>
        <v>46175</v>
      </c>
      <c r="C280" t="str">
        <f>IFERROR(IF(OR(L280="Fri",L280="Ferie",L280="Syk",L280="Omsorg",B280&lt;Start!$B$7),0,IF(IFERROR(MATCH(B280,Start!A$253:A$273,0),0)&gt;0,VLOOKUP(B280,Start!A$253:F$273,3,FALSE)/100*Start!$B$4,VLOOKUP(WEEKDAY(B280,2),Start!A$240:F$246,4,FALSE))),"")</f>
        <v/>
      </c>
      <c r="D280" t="str">
        <f>IFERROR(IF(OR(U280="Fri",U280="Ferie",U280="Syk",U280="Omsorg",B280&lt;Start!$F$7),0,IF(IFERROR(MATCH(B280,Start!A$253:A$273,0),0)&gt;0,VLOOKUP(B280,Start!A$253:F$273,3,FALSE)/100*Start!$F$4,VLOOKUP(WEEKDAY(B280,2),Start!A$240:F$246,6,FALSE))),"")</f>
        <v/>
      </c>
      <c r="E280">
        <f t="shared" ca="1" si="252"/>
        <v>0</v>
      </c>
      <c r="F280">
        <f>IFERROR(IF(YEAR(B280)=Start!$B$1,MONTH(B280),""),"")</f>
        <v>6</v>
      </c>
      <c r="G280" s="64" t="str">
        <f>IFERROR(VLOOKUP(B280,Start!A$111:B$273,2,FALSE),"")</f>
        <v/>
      </c>
      <c r="H280" s="21"/>
      <c r="I280" s="78">
        <v>0.33333333333333331</v>
      </c>
      <c r="J280" s="78">
        <v>0.33333333333333331</v>
      </c>
      <c r="K280" s="1" t="str">
        <f>IF(Start!$B$6="Ja","",IF(((J280-I280)*24)&gt;=5.5,"X",""))</f>
        <v/>
      </c>
      <c r="L280" s="1" t="str">
        <f>IF(_xlfn.IFNA(MATCH($A279,Start!$H$3:$H$11,0),0)&gt;0,"Ferie",IFERROR(IF(VLOOKUP($B280,Start!$A$165:$B$234,2,FALSE)&gt;0,"Fri",0),IF(AND((J280-I280)=0,Z280=""),"",MAX((IF(K280="X",(J280-I280)*24-0.5,(J280-I280)*24)),Z280))))</f>
        <v/>
      </c>
      <c r="M280" s="58"/>
      <c r="N280" s="21" t="str">
        <f t="shared" si="310"/>
        <v/>
      </c>
      <c r="O280" s="21" t="str">
        <f t="shared" si="311"/>
        <v/>
      </c>
      <c r="P280" s="2"/>
      <c r="Q280" s="21"/>
      <c r="R280" s="78">
        <v>0.33333333333333331</v>
      </c>
      <c r="S280" s="78">
        <v>0.33333333333333331</v>
      </c>
      <c r="T280" s="1" t="str">
        <f>IF(Start!$B$6="Ja","",IF(((S280-R280)*24)&gt;=5.5,"X",""))</f>
        <v/>
      </c>
      <c r="U280" s="1" t="str">
        <f>IF(_xlfn.IFNA(MATCH($A$15,Start!$H$3:$H$11,0),0)&gt;0,"Ferie",(IF(L280="fri","Fri",(IF(L280="syk","Syk",IF(L280="Ferie","Ferie",IF(AND((S280-R280)=0,AB280=""),"",MAX((IF(T280="X",(S280-R280)*24-0.5,(S280-R280)*24)),AB280))))))))</f>
        <v/>
      </c>
      <c r="V280" s="58"/>
      <c r="W280" s="21" t="str">
        <f t="shared" si="312"/>
        <v/>
      </c>
      <c r="X280" s="21" t="str">
        <f t="shared" si="313"/>
        <v/>
      </c>
      <c r="Z280" s="70" t="str">
        <f>IF(SUMIFS(TrackingTime!H:H,TrackingTime!F:F,Timer!B280,TrackingTime!C:C,"Hovedkontoret")&gt;0,SUMIFS(TrackingTime!H:H,TrackingTime!F:F,Timer!B280,TrackingTime!C:C,"Hovedkontoret"),"")</f>
        <v/>
      </c>
      <c r="AA280" s="71" t="str">
        <f t="shared" si="300"/>
        <v/>
      </c>
      <c r="AB280" t="str">
        <f>IF(SUMIFS(TrackingTime!H:H,TrackingTime!F:F,Timer!B280,TrackingTime!C:C,Start!$F$3)&gt;0,SUMIFS(TrackingTime!H:H,TrackingTime!F:F,Timer!B280,TrackingTime!C:C,Start!$F$3),"")</f>
        <v/>
      </c>
      <c r="AC280" s="71" t="str">
        <f t="shared" si="303"/>
        <v/>
      </c>
    </row>
    <row r="281" spans="1:29" x14ac:dyDescent="0.25">
      <c r="A281" s="15"/>
      <c r="B281" s="63">
        <f t="shared" si="314"/>
        <v>46176</v>
      </c>
      <c r="C281" t="str">
        <f>IFERROR(IF(OR(L281="Fri",L281="Ferie",L281="Syk",L281="Omsorg",B281&lt;Start!$B$7),0,IF(IFERROR(MATCH(B281,Start!A$253:A$273,0),0)&gt;0,VLOOKUP(B281,Start!A$253:F$273,3,FALSE)/100*Start!$B$4,VLOOKUP(WEEKDAY(B281,2),Start!A$240:F$246,4,FALSE))),"")</f>
        <v/>
      </c>
      <c r="D281" t="str">
        <f>IFERROR(IF(OR(U281="Fri",U281="Ferie",U281="Syk",U281="Omsorg",B281&lt;Start!$F$7),0,IF(IFERROR(MATCH(B281,Start!A$253:A$273,0),0)&gt;0,VLOOKUP(B281,Start!A$253:F$273,3,FALSE)/100*Start!$F$4,VLOOKUP(WEEKDAY(B281,2),Start!A$240:F$246,6,FALSE))),"")</f>
        <v/>
      </c>
      <c r="E281">
        <f t="shared" ca="1" si="252"/>
        <v>0</v>
      </c>
      <c r="F281">
        <f>IFERROR(IF(YEAR(B281)=Start!$B$1,MONTH(B281),""),"")</f>
        <v>6</v>
      </c>
      <c r="G281" s="64" t="str">
        <f>IFERROR(VLOOKUP(B281,Start!A$111:B$273,2,FALSE),"")</f>
        <v/>
      </c>
      <c r="H281" s="21"/>
      <c r="I281" s="78">
        <v>0.33333333333333331</v>
      </c>
      <c r="J281" s="78">
        <v>0.33333333333333331</v>
      </c>
      <c r="K281" s="1" t="str">
        <f>IF(Start!$B$6="Ja","",IF(((J281-I281)*24)&gt;=5.5,"X",""))</f>
        <v/>
      </c>
      <c r="L281" s="1" t="str">
        <f>IF(_xlfn.IFNA(MATCH($A279,Start!$H$3:$H$11,0),0)&gt;0,"Ferie",IFERROR(IF(VLOOKUP(B281,Start!A$165:B$234,2,FALSE)&gt;0,"Fri",0),IF(AND((J281-I281)=0,Z281=""),"",MAX((IF(K281="X",(J281-I281)*24-0.5,(J281-I281)*24)),Z281))))</f>
        <v/>
      </c>
      <c r="M281" s="58"/>
      <c r="N281" s="21" t="str">
        <f t="shared" si="310"/>
        <v/>
      </c>
      <c r="O281" s="21" t="str">
        <f t="shared" si="311"/>
        <v/>
      </c>
      <c r="P281" s="2"/>
      <c r="Q281" s="21"/>
      <c r="R281" s="78">
        <v>0.33333333333333331</v>
      </c>
      <c r="S281" s="78">
        <v>0.33333333333333331</v>
      </c>
      <c r="T281" s="1" t="str">
        <f>IF(Start!$B$6="Ja","",IF(((S281-R281)*24)&gt;=5.5,"X",""))</f>
        <v/>
      </c>
      <c r="U281" s="1" t="str">
        <f>IF(_xlfn.IFNA(MATCH($A$15,Start!$H$3:$H$11,0),0)&gt;0,"Ferie",(IF(L281="fri","Fri",(IF(L281="syk","Syk",IF(L281="Ferie","Ferie",IF(AND((S281-R281)=0,AB281=""),"",MAX((IF(T281="X",(S281-R281)*24-0.5,(S281-R281)*24)),AB281))))))))</f>
        <v/>
      </c>
      <c r="V281" s="58"/>
      <c r="W281" s="21" t="str">
        <f t="shared" si="312"/>
        <v/>
      </c>
      <c r="X281" s="21" t="str">
        <f t="shared" si="313"/>
        <v/>
      </c>
      <c r="Z281" s="70" t="str">
        <f>IF(SUMIFS(TrackingTime!H:H,TrackingTime!F:F,Timer!B281,TrackingTime!C:C,"Hovedkontoret")&gt;0,SUMIFS(TrackingTime!H:H,TrackingTime!F:F,Timer!B281,TrackingTime!C:C,"Hovedkontoret"),"")</f>
        <v/>
      </c>
      <c r="AA281" s="71" t="str">
        <f t="shared" si="300"/>
        <v/>
      </c>
      <c r="AB281" t="str">
        <f>IF(SUMIFS(TrackingTime!H:H,TrackingTime!F:F,Timer!B281,TrackingTime!C:C,Start!$F$3)&gt;0,SUMIFS(TrackingTime!H:H,TrackingTime!F:F,Timer!B281,TrackingTime!C:C,Start!$F$3),"")</f>
        <v/>
      </c>
      <c r="AC281" s="71" t="str">
        <f t="shared" si="303"/>
        <v/>
      </c>
    </row>
    <row r="282" spans="1:29" x14ac:dyDescent="0.25">
      <c r="A282" s="15"/>
      <c r="B282" s="63">
        <f t="shared" si="314"/>
        <v>46177</v>
      </c>
      <c r="C282" t="str">
        <f>IFERROR(IF(OR(L282="Fri",L282="Ferie",L282="Syk",L282="Omsorg",B282&lt;Start!$B$7),0,IF(IFERROR(MATCH(B282,Start!A$253:A$273,0),0)&gt;0,VLOOKUP(B282,Start!A$253:F$273,3,FALSE)/100*Start!$B$4,VLOOKUP(WEEKDAY(B282,2),Start!A$240:F$246,4,FALSE))),"")</f>
        <v/>
      </c>
      <c r="D282" t="str">
        <f>IFERROR(IF(OR(U282="Fri",U282="Ferie",U282="Syk",U282="Omsorg",B282&lt;Start!$F$7),0,IF(IFERROR(MATCH(B282,Start!A$253:A$273,0),0)&gt;0,VLOOKUP(B282,Start!A$253:F$273,3,FALSE)/100*Start!$F$4,VLOOKUP(WEEKDAY(B282,2),Start!A$240:F$246,6,FALSE))),"")</f>
        <v/>
      </c>
      <c r="E282">
        <f t="shared" ca="1" si="252"/>
        <v>0</v>
      </c>
      <c r="F282">
        <f>IFERROR(IF(YEAR(B282)=Start!$B$1,MONTH(B282),""),"")</f>
        <v>6</v>
      </c>
      <c r="G282" s="64" t="str">
        <f>IFERROR(VLOOKUP(B282,Start!A$111:B$273,2,FALSE),"")</f>
        <v/>
      </c>
      <c r="H282" s="21"/>
      <c r="I282" s="78">
        <v>0.33333333333333331</v>
      </c>
      <c r="J282" s="78">
        <v>0.33333333333333331</v>
      </c>
      <c r="K282" s="1" t="str">
        <f>IF(Start!$B$6="Ja","",IF(((J282-I282)*24)&gt;=5.5,"X",""))</f>
        <v/>
      </c>
      <c r="L282" s="1" t="str">
        <f>IF(_xlfn.IFNA(MATCH($A279,Start!$H$3:$H$11,0),0)&gt;0,"Ferie",IFERROR(IF(VLOOKUP(B282,Start!A$165:B$234,2,FALSE)&gt;0,"Fri",0),IF(AND((J282-I282)=0,Z282=""),"",MAX((IF(K282="X",(J282-I282)*24-0.5,(J282-I282)*24)),Z282))))</f>
        <v/>
      </c>
      <c r="M282" s="58"/>
      <c r="N282" s="21" t="str">
        <f t="shared" si="310"/>
        <v/>
      </c>
      <c r="O282" s="21" t="str">
        <f t="shared" si="311"/>
        <v/>
      </c>
      <c r="P282" s="2"/>
      <c r="Q282" s="21"/>
      <c r="R282" s="78">
        <v>0.33333333333333331</v>
      </c>
      <c r="S282" s="78">
        <v>0.33333333333333331</v>
      </c>
      <c r="T282" s="1" t="str">
        <f>IF(Start!$B$6="Ja","",IF(((S282-R282)*24)&gt;=5.5,"X",""))</f>
        <v/>
      </c>
      <c r="U282" s="1" t="str">
        <f>IF(_xlfn.IFNA(MATCH($A$15,Start!$H$3:$H$11,0),0)&gt;0,"Ferie",(IF(L282="fri","Fri",(IF(L282="syk","Syk",IF(L282="Ferie","Ferie",IF(AND((S282-R282)=0,AB282=""),"",MAX((IF(T282="X",(S282-R282)*24-0.5,(S282-R282)*24)),AB282))))))))</f>
        <v/>
      </c>
      <c r="V282" s="58"/>
      <c r="W282" s="21" t="str">
        <f t="shared" si="312"/>
        <v/>
      </c>
      <c r="X282" s="21" t="str">
        <f t="shared" si="313"/>
        <v/>
      </c>
      <c r="Z282" s="70" t="str">
        <f>IF(SUMIFS(TrackingTime!H:H,TrackingTime!F:F,Timer!B282,TrackingTime!C:C,"Hovedkontoret")&gt;0,SUMIFS(TrackingTime!H:H,TrackingTime!F:F,Timer!B282,TrackingTime!C:C,"Hovedkontoret"),"")</f>
        <v/>
      </c>
      <c r="AA282" s="71" t="str">
        <f t="shared" si="300"/>
        <v/>
      </c>
      <c r="AB282" t="str">
        <f>IF(SUMIFS(TrackingTime!H:H,TrackingTime!F:F,Timer!B282,TrackingTime!C:C,Start!$F$3)&gt;0,SUMIFS(TrackingTime!H:H,TrackingTime!F:F,Timer!B282,TrackingTime!C:C,Start!$F$3),"")</f>
        <v/>
      </c>
      <c r="AC282" s="71" t="str">
        <f t="shared" si="303"/>
        <v/>
      </c>
    </row>
    <row r="283" spans="1:29" x14ac:dyDescent="0.25">
      <c r="A283" s="15"/>
      <c r="B283" s="63">
        <f t="shared" si="314"/>
        <v>46178</v>
      </c>
      <c r="C283" t="str">
        <f>IFERROR(IF(OR(L283="Fri",L283="Ferie",L283="Syk",L283="Omsorg",B283&lt;Start!$B$7),0,IF(IFERROR(MATCH(B283,Start!A$253:A$273,0),0)&gt;0,VLOOKUP(B283,Start!A$253:F$273,3,FALSE)/100*Start!$B$4,VLOOKUP(WEEKDAY(B283,2),Start!A$240:F$246,4,FALSE))),"")</f>
        <v/>
      </c>
      <c r="D283" t="str">
        <f>IFERROR(IF(OR(U283="Fri",U283="Ferie",U283="Syk",U283="Omsorg",B283&lt;Start!$F$7),0,IF(IFERROR(MATCH(B283,Start!A$253:A$273,0),0)&gt;0,VLOOKUP(B283,Start!A$253:F$273,3,FALSE)/100*Start!$F$4,VLOOKUP(WEEKDAY(B283,2),Start!A$240:F$246,6,FALSE))),"")</f>
        <v/>
      </c>
      <c r="E283">
        <f t="shared" ca="1" si="252"/>
        <v>0</v>
      </c>
      <c r="F283">
        <f>IFERROR(IF(YEAR(B283)=Start!$B$1,MONTH(B283),""),"")</f>
        <v>6</v>
      </c>
      <c r="G283" s="64" t="str">
        <f>IFERROR(VLOOKUP(B283,Start!A$111:B$273,2,FALSE),"")</f>
        <v/>
      </c>
      <c r="H283" s="21"/>
      <c r="I283" s="78">
        <v>0.33333333333333331</v>
      </c>
      <c r="J283" s="78">
        <v>0.33333333333333331</v>
      </c>
      <c r="K283" s="1" t="str">
        <f>IF(Start!$B$6="Ja","",IF(((J283-I283)*24)&gt;=5.5,"X",""))</f>
        <v/>
      </c>
      <c r="L283" s="1" t="str">
        <f>IF(_xlfn.IFNA(MATCH($A279,Start!$H$3:$H$11,0),0)&gt;0,"Ferie",IFERROR(IF(VLOOKUP(B283,Start!A$165:B$234,2,FALSE)&gt;0,"Fri",0),IF(AND((J283-I283)=0,Z283=""),"",MAX((IF(K283="X",(J283-I283)*24-0.5,(J283-I283)*24)),Z283))))</f>
        <v/>
      </c>
      <c r="M283" s="58"/>
      <c r="N283" s="21" t="str">
        <f t="shared" si="310"/>
        <v/>
      </c>
      <c r="O283" s="21" t="str">
        <f t="shared" si="311"/>
        <v/>
      </c>
      <c r="P283" s="2"/>
      <c r="Q283" s="21"/>
      <c r="R283" s="78">
        <v>0.33333333333333331</v>
      </c>
      <c r="S283" s="78">
        <v>0.33333333333333331</v>
      </c>
      <c r="T283" s="1" t="str">
        <f>IF(Start!$B$6="Ja","",IF(((S283-R283)*24)&gt;=5.5,"X",""))</f>
        <v/>
      </c>
      <c r="U283" s="1" t="str">
        <f>IF(_xlfn.IFNA(MATCH($A$15,Start!$H$3:$H$11,0),0)&gt;0,"Ferie",(IF(L283="fri","Fri",(IF(L283="syk","Syk",IF(L283="Ferie","Ferie",IF(AND((S283-R283)=0,AB283=""),"",MAX((IF(T283="X",(S283-R283)*24-0.5,(S283-R283)*24)),AB283))))))))</f>
        <v/>
      </c>
      <c r="V283" s="58"/>
      <c r="W283" s="21" t="str">
        <f t="shared" si="312"/>
        <v/>
      </c>
      <c r="X283" s="21" t="str">
        <f t="shared" si="313"/>
        <v/>
      </c>
      <c r="Z283" s="70" t="str">
        <f>IF(SUMIFS(TrackingTime!H:H,TrackingTime!F:F,Timer!B283,TrackingTime!C:C,"Hovedkontoret")&gt;0,SUMIFS(TrackingTime!H:H,TrackingTime!F:F,Timer!B283,TrackingTime!C:C,"Hovedkontoret"),"")</f>
        <v/>
      </c>
      <c r="AA283" s="71" t="str">
        <f t="shared" si="300"/>
        <v/>
      </c>
      <c r="AB283" t="str">
        <f>IF(SUMIFS(TrackingTime!H:H,TrackingTime!F:F,Timer!B283,TrackingTime!C:C,Start!$F$3)&gt;0,SUMIFS(TrackingTime!H:H,TrackingTime!F:F,Timer!B283,TrackingTime!C:C,Start!$F$3),"")</f>
        <v/>
      </c>
      <c r="AC283" s="71" t="str">
        <f t="shared" si="303"/>
        <v/>
      </c>
    </row>
    <row r="284" spans="1:29" x14ac:dyDescent="0.25">
      <c r="A284" s="15"/>
      <c r="B284" s="63">
        <f t="shared" si="314"/>
        <v>46179</v>
      </c>
      <c r="C284">
        <f>IFERROR(IF(OR(L284="Fri",L284="Ferie",L284="Syk",L284="Omsorg",B284&lt;Start!$B$7),0,IF(IFERROR(MATCH(B284,Start!A$253:A$273,0),0)&gt;0,VLOOKUP(B284,Start!A$253:F$273,3,FALSE)/100*Start!$B$4,VLOOKUP(WEEKDAY(B284,2),Start!A$240:F$246,4,FALSE))),"")</f>
        <v>0</v>
      </c>
      <c r="D284">
        <f>IFERROR(IF(OR(U284="Fri",U284="Ferie",U284="Syk",U284="Omsorg",B284&lt;Start!$F$7),0,IF(IFERROR(MATCH(B284,Start!A$253:A$273,0),0)&gt;0,VLOOKUP(B284,Start!A$253:F$273,3,FALSE)/100*Start!$F$4,VLOOKUP(WEEKDAY(B284,2),Start!A$240:F$246,6,FALSE))),"")</f>
        <v>0</v>
      </c>
      <c r="E284">
        <f t="shared" ca="1" si="252"/>
        <v>0</v>
      </c>
      <c r="F284">
        <f>IFERROR(IF(YEAR(B284)=Start!$B$1,MONTH(B284),""),"")</f>
        <v>6</v>
      </c>
      <c r="G284" s="64" t="str">
        <f>IFERROR(VLOOKUP(B284,Start!A$111:B$273,2,FALSE),"")</f>
        <v/>
      </c>
      <c r="H284" s="21"/>
      <c r="I284" s="78">
        <v>0.41666666666666669</v>
      </c>
      <c r="J284" s="78">
        <v>0.41666666666666669</v>
      </c>
      <c r="K284" s="1" t="str">
        <f>IF(Start!$B$6="Ja","",IF(((J284-I284)*24)&gt;=5.5,"X",""))</f>
        <v/>
      </c>
      <c r="L284" s="1" t="str">
        <f t="shared" ref="L284:L285" si="315">IF(AND((J284-I284)=0,Z284=""),"",MAX((IF(K284="X",(J284-I284)*24-0.5,(J284-I284)*24)),Z284))</f>
        <v/>
      </c>
      <c r="M284" s="58"/>
      <c r="N284" s="21" t="str">
        <f t="shared" si="310"/>
        <v/>
      </c>
      <c r="O284" s="21" t="str">
        <f t="shared" si="311"/>
        <v/>
      </c>
      <c r="P284" s="2"/>
      <c r="Q284" s="21"/>
      <c r="R284" s="78">
        <v>0.41666666666666669</v>
      </c>
      <c r="S284" s="78">
        <v>0.41666666666666669</v>
      </c>
      <c r="T284" s="1" t="str">
        <f>IF(Start!$B$6="Ja","",IF(((S284-R284)*24)&gt;=5.5,"X",""))</f>
        <v/>
      </c>
      <c r="U284" s="1" t="str">
        <f t="shared" ref="U284:U285" si="316">IF(AND((S284-R284)=0,AB284=""),"",MAX((IF(T284="X",(S284-R284)*24-0.5,(S284-R284)*24)),AB284))</f>
        <v/>
      </c>
      <c r="V284" s="58"/>
      <c r="W284" s="21" t="str">
        <f t="shared" si="312"/>
        <v/>
      </c>
      <c r="X284" s="21" t="str">
        <f t="shared" si="313"/>
        <v/>
      </c>
      <c r="Z284" s="70" t="str">
        <f>IF(SUMIFS(TrackingTime!H:H,TrackingTime!F:F,Timer!B284,TrackingTime!C:C,"Hovedkontoret")&gt;0,SUMIFS(TrackingTime!H:H,TrackingTime!F:F,Timer!B284,TrackingTime!C:C,"Hovedkontoret"),"")</f>
        <v/>
      </c>
      <c r="AA284" s="71" t="str">
        <f t="shared" si="300"/>
        <v/>
      </c>
      <c r="AB284" t="str">
        <f>IF(SUMIFS(TrackingTime!H:H,TrackingTime!F:F,Timer!B284,TrackingTime!C:C,Start!$F$3)&gt;0,SUMIFS(TrackingTime!H:H,TrackingTime!F:F,Timer!B284,TrackingTime!C:C,Start!$F$3),"")</f>
        <v/>
      </c>
      <c r="AC284" s="71" t="str">
        <f t="shared" si="303"/>
        <v/>
      </c>
    </row>
    <row r="285" spans="1:29" x14ac:dyDescent="0.25">
      <c r="A285" s="15"/>
      <c r="B285" s="63">
        <f t="shared" si="314"/>
        <v>46180</v>
      </c>
      <c r="C285">
        <f>IFERROR(IF(OR(L285="Fri",L285="Ferie",L285="Syk",L285="Omsorg",B285&lt;Start!$B$7),0,IF(IFERROR(MATCH(B285,Start!A$253:A$273,0),0)&gt;0,VLOOKUP(B285,Start!A$253:F$273,3,FALSE)/100*Start!$B$4,VLOOKUP(WEEKDAY(B285,2),Start!A$240:F$246,4,FALSE))),"")</f>
        <v>0</v>
      </c>
      <c r="D285">
        <f>IFERROR(IF(OR(U285="Fri",U285="Ferie",U285="Syk",U285="Omsorg",B285&lt;Start!$F$7),0,IF(IFERROR(MATCH(B285,Start!A$253:A$273,0),0)&gt;0,VLOOKUP(B285,Start!A$253:F$273,3,FALSE)/100*Start!$F$4,VLOOKUP(WEEKDAY(B285,2),Start!A$240:F$246,6,FALSE))),"")</f>
        <v>0</v>
      </c>
      <c r="E285">
        <f t="shared" ca="1" si="252"/>
        <v>0</v>
      </c>
      <c r="F285">
        <f>IFERROR(IF(YEAR(B285)=Start!$B$1,MONTH(B285),""),"")</f>
        <v>6</v>
      </c>
      <c r="G285" s="64" t="str">
        <f>IFERROR(VLOOKUP(B285,Start!A$111:B$273,2,FALSE),"")</f>
        <v/>
      </c>
      <c r="H285" s="25"/>
      <c r="I285" s="78">
        <v>0.41666666666666669</v>
      </c>
      <c r="J285" s="78">
        <v>0.41666666666666669</v>
      </c>
      <c r="K285" s="1" t="str">
        <f>IF(Start!$B$6="Ja","",IF(((J285-I285)*24)&gt;=5.5,"X",""))</f>
        <v/>
      </c>
      <c r="L285" s="1" t="str">
        <f t="shared" si="315"/>
        <v/>
      </c>
      <c r="M285" s="58"/>
      <c r="N285" s="21" t="str">
        <f t="shared" si="310"/>
        <v/>
      </c>
      <c r="O285" s="21" t="str">
        <f t="shared" si="311"/>
        <v/>
      </c>
      <c r="Q285" s="25"/>
      <c r="R285" s="78">
        <v>0.41666666666666669</v>
      </c>
      <c r="S285" s="78">
        <v>0.41666666666666669</v>
      </c>
      <c r="T285" s="1" t="str">
        <f>IF(Start!$B$6="Ja","",IF(((S285-R285)*24)&gt;=5.5,"X",""))</f>
        <v/>
      </c>
      <c r="U285" s="1" t="str">
        <f t="shared" si="316"/>
        <v/>
      </c>
      <c r="V285" s="58"/>
      <c r="W285" s="21" t="str">
        <f t="shared" si="312"/>
        <v/>
      </c>
      <c r="X285" s="21" t="str">
        <f t="shared" si="313"/>
        <v/>
      </c>
      <c r="Z285" s="70" t="str">
        <f>IF(SUMIFS(TrackingTime!H:H,TrackingTime!F:F,Timer!B285,TrackingTime!C:C,"Hovedkontoret")&gt;0,SUMIFS(TrackingTime!H:H,TrackingTime!F:F,Timer!B285,TrackingTime!C:C,"Hovedkontoret"),"")</f>
        <v/>
      </c>
      <c r="AA285" s="71" t="str">
        <f t="shared" si="300"/>
        <v/>
      </c>
      <c r="AB285" t="str">
        <f>IF(SUMIFS(TrackingTime!H:H,TrackingTime!F:F,Timer!B285,TrackingTime!C:C,Start!$F$3)&gt;0,SUMIFS(TrackingTime!H:H,TrackingTime!F:F,Timer!B285,TrackingTime!C:C,Start!$F$3),"")</f>
        <v/>
      </c>
      <c r="AC285" s="71" t="str">
        <f t="shared" si="303"/>
        <v/>
      </c>
    </row>
    <row r="286" spans="1:29" x14ac:dyDescent="0.25">
      <c r="A286" s="15"/>
      <c r="B286" s="4" t="s">
        <v>11</v>
      </c>
      <c r="C286" s="24"/>
      <c r="D286" s="24"/>
      <c r="E286" s="24">
        <f t="shared" ca="1" si="252"/>
        <v>0</v>
      </c>
      <c r="F286" s="24" t="str">
        <f>IFERROR(IF(YEAR(B286)=Start!$B$1,MONTH(B286),""),"")</f>
        <v/>
      </c>
      <c r="G286" s="64" t="str">
        <f>IFERROR(VLOOKUP(B286,Start!A$111:B$273,2,FALSE),"")</f>
        <v/>
      </c>
      <c r="H286" s="4"/>
      <c r="I286" s="4"/>
      <c r="J286" s="4"/>
      <c r="K286" s="4"/>
      <c r="L286" s="5">
        <f t="shared" si="260"/>
        <v>0</v>
      </c>
      <c r="N286" s="24"/>
      <c r="O286" s="39">
        <f t="shared" ref="O286" si="317">SUM(O279:O285)</f>
        <v>0</v>
      </c>
      <c r="P286" s="40"/>
      <c r="Q286" s="41"/>
      <c r="R286" s="4"/>
      <c r="S286" s="4"/>
      <c r="T286" s="4"/>
      <c r="U286" s="5">
        <f t="shared" ref="U286" si="318">SUM($U279:$U285)</f>
        <v>0</v>
      </c>
      <c r="V286" s="58"/>
      <c r="W286" s="39"/>
      <c r="X286" s="39">
        <f t="shared" ref="X286:X334" si="319">SUM(X279:X285)</f>
        <v>0</v>
      </c>
      <c r="Z286" s="70" t="str">
        <f>IF(SUMIFS(TrackingTime!H:H,TrackingTime!F:F,Timer!B286,TrackingTime!C:C,"Hovedkontoret")&gt;0,SUMIFS(TrackingTime!H:H,TrackingTime!F:F,Timer!B286,TrackingTime!C:C,"Hovedkontoret"),"")</f>
        <v/>
      </c>
      <c r="AA286" s="71" t="str">
        <f t="shared" si="300"/>
        <v/>
      </c>
      <c r="AB286" t="str">
        <f>IF(SUMIFS(TrackingTime!H:H,TrackingTime!F:F,Timer!B286,TrackingTime!C:C,Start!$F$3)&gt;0,SUMIFS(TrackingTime!H:H,TrackingTime!F:F,Timer!B286,TrackingTime!C:C,Start!$F$3),"")</f>
        <v/>
      </c>
      <c r="AC286" s="71" t="str">
        <f t="shared" si="303"/>
        <v/>
      </c>
    </row>
    <row r="287" spans="1:29" x14ac:dyDescent="0.25">
      <c r="A287" s="15"/>
      <c r="B287" t="s">
        <v>90</v>
      </c>
      <c r="E287">
        <f t="shared" ca="1" si="252"/>
        <v>0</v>
      </c>
      <c r="F287" t="str">
        <f>IFERROR(IF(YEAR(B287)=Start!$B$1,MONTH(B287),""),"")</f>
        <v/>
      </c>
      <c r="G287" s="64" t="str">
        <f>IFERROR(VLOOKUP(B287,Start!A$111:B$273,2,FALSE),"")</f>
        <v/>
      </c>
      <c r="L287" s="1">
        <f t="shared" si="263"/>
        <v>0</v>
      </c>
      <c r="M287" s="1"/>
      <c r="N287" s="1"/>
      <c r="O287" s="21">
        <f t="shared" ref="O287" si="320">L287</f>
        <v>0</v>
      </c>
      <c r="P287" s="40"/>
      <c r="Q287" s="21"/>
      <c r="U287" s="1">
        <f t="shared" ref="U287" si="321">SUMIFS(D279:D285,F279:F285,"&gt;0")</f>
        <v>0</v>
      </c>
      <c r="V287" s="1"/>
      <c r="W287" s="1"/>
      <c r="X287" s="21">
        <f>U287</f>
        <v>0</v>
      </c>
      <c r="Z287" s="70" t="str">
        <f>IF(SUMIFS(TrackingTime!H:H,TrackingTime!F:F,Timer!B287,TrackingTime!C:C,"Hovedkontoret")&gt;0,SUMIFS(TrackingTime!H:H,TrackingTime!F:F,Timer!B287,TrackingTime!C:C,"Hovedkontoret"),"")</f>
        <v/>
      </c>
      <c r="AA287" s="71" t="str">
        <f t="shared" si="300"/>
        <v/>
      </c>
      <c r="AB287" t="str">
        <f>IF(SUMIFS(TrackingTime!H:H,TrackingTime!F:F,Timer!B287,TrackingTime!C:C,Start!$F$3)&gt;0,SUMIFS(TrackingTime!H:H,TrackingTime!F:F,Timer!B287,TrackingTime!C:C,Start!$F$3),"")</f>
        <v/>
      </c>
      <c r="AC287" s="71" t="str">
        <f t="shared" si="303"/>
        <v/>
      </c>
    </row>
    <row r="288" spans="1:29" x14ac:dyDescent="0.25">
      <c r="A288" s="16">
        <f>B285-B279-1</f>
        <v>5</v>
      </c>
      <c r="B288" t="s">
        <v>117</v>
      </c>
      <c r="E288">
        <f t="shared" ca="1" si="252"/>
        <v>0</v>
      </c>
      <c r="F288" t="str">
        <f>IFERROR(IF(YEAR(B288)=Start!$B$1,MONTH(B288),""),"")</f>
        <v/>
      </c>
      <c r="G288" s="64" t="str">
        <f>IFERROR(VLOOKUP(B288,Start!A$111:B$273,2,FALSE),"")</f>
        <v/>
      </c>
      <c r="L288" s="77">
        <f t="shared" ca="1" si="266"/>
        <v>0</v>
      </c>
      <c r="O288" s="21">
        <f t="shared" ref="O288" si="322">O286-O287</f>
        <v>0</v>
      </c>
      <c r="P288" s="21"/>
      <c r="Q288" s="21"/>
      <c r="U288" s="1">
        <f t="shared" ref="U288" ca="1" si="323">U286-U287*(IF(NETWORKDAYS($B279,TODAY())&lt;0,0,IF(NETWORKDAYS($B279,TODAY())&lt;=$A288,NETWORKDAYS($B279,TODAY()),$A288)))/$A288</f>
        <v>0</v>
      </c>
      <c r="V288" s="58"/>
      <c r="W288" s="21"/>
      <c r="X288" s="21">
        <f>X286-X287</f>
        <v>0</v>
      </c>
      <c r="Z288" s="70" t="str">
        <f>IF(SUMIFS(TrackingTime!H:H,TrackingTime!F:F,Timer!B288,TrackingTime!C:C,"Hovedkontoret")&gt;0,SUMIFS(TrackingTime!H:H,TrackingTime!F:F,Timer!B288,TrackingTime!C:C,"Hovedkontoret"),"")</f>
        <v/>
      </c>
      <c r="AA288" s="71" t="str">
        <f t="shared" si="300"/>
        <v/>
      </c>
      <c r="AB288" t="str">
        <f>IF(SUMIFS(TrackingTime!H:H,TrackingTime!F:F,Timer!B288,TrackingTime!C:C,Start!$F$3)&gt;0,SUMIFS(TrackingTime!H:H,TrackingTime!F:F,Timer!B288,TrackingTime!C:C,Start!$F$3),"")</f>
        <v/>
      </c>
      <c r="AC288" s="71" t="str">
        <f t="shared" si="303"/>
        <v/>
      </c>
    </row>
    <row r="289" spans="1:29" x14ac:dyDescent="0.25">
      <c r="A289" s="15"/>
      <c r="E289">
        <f t="shared" ca="1" si="252"/>
        <v>1</v>
      </c>
      <c r="F289" t="str">
        <f>IFERROR(IF(YEAR(B289)=Start!$B$1,MONTH(B289),""),"")</f>
        <v/>
      </c>
      <c r="G289" s="64" t="str">
        <f>IFERROR(VLOOKUP(B289,Start!A$111:B$273,2,FALSE),"")</f>
        <v/>
      </c>
      <c r="O289" s="2"/>
      <c r="P289" s="2"/>
      <c r="U289" s="1"/>
      <c r="V289" s="7"/>
      <c r="X289" s="2"/>
      <c r="Z289" s="70" t="str">
        <f>IF(SUMIFS(TrackingTime!H:H,TrackingTime!F:F,Timer!B289,TrackingTime!C:C,"Hovedkontoret")&gt;0,SUMIFS(TrackingTime!H:H,TrackingTime!F:F,Timer!B289,TrackingTime!C:C,"Hovedkontoret"),"")</f>
        <v/>
      </c>
      <c r="AA289" s="71" t="str">
        <f t="shared" si="300"/>
        <v/>
      </c>
      <c r="AB289" t="str">
        <f>IF(SUMIFS(TrackingTime!H:H,TrackingTime!F:F,Timer!B289,TrackingTime!C:C,Start!$F$3)&gt;0,SUMIFS(TrackingTime!H:H,TrackingTime!F:F,Timer!B289,TrackingTime!C:C,Start!$F$3),"")</f>
        <v/>
      </c>
      <c r="AC289" s="71" t="str">
        <f t="shared" si="303"/>
        <v/>
      </c>
    </row>
    <row r="290" spans="1:29" x14ac:dyDescent="0.25">
      <c r="A290" s="2" t="s">
        <v>82</v>
      </c>
      <c r="B290" s="14" t="s">
        <v>83</v>
      </c>
      <c r="E290">
        <f t="shared" ca="1" si="252"/>
        <v>0</v>
      </c>
      <c r="F290" t="str">
        <f>IFERROR(IF(YEAR(B290)=Start!$B$1,MONTH(B290),""),"")</f>
        <v/>
      </c>
      <c r="G290" s="64" t="str">
        <f>IFERROR(VLOOKUP(B290,Start!A$111:B$273,2,FALSE),"")</f>
        <v/>
      </c>
      <c r="H290" s="2" t="s">
        <v>86</v>
      </c>
      <c r="I290" s="2" t="s">
        <v>125</v>
      </c>
      <c r="J290" s="2" t="s">
        <v>126</v>
      </c>
      <c r="K290" s="2" t="s">
        <v>127</v>
      </c>
      <c r="L290" s="3" t="s">
        <v>87</v>
      </c>
      <c r="M290" s="6"/>
      <c r="N290" s="2" t="s">
        <v>88</v>
      </c>
      <c r="O290" s="2" t="s">
        <v>89</v>
      </c>
      <c r="P290" s="2"/>
      <c r="Q290" s="2" t="s">
        <v>86</v>
      </c>
      <c r="R290" s="2" t="s">
        <v>125</v>
      </c>
      <c r="S290" s="2" t="s">
        <v>126</v>
      </c>
      <c r="T290" s="2" t="s">
        <v>127</v>
      </c>
      <c r="U290" s="3" t="s">
        <v>87</v>
      </c>
      <c r="V290" s="6"/>
      <c r="W290" s="2" t="s">
        <v>88</v>
      </c>
      <c r="X290" s="2" t="s">
        <v>89</v>
      </c>
      <c r="Z290" s="70" t="str">
        <f>IF(SUMIFS(TrackingTime!H:H,TrackingTime!F:F,Timer!B290,TrackingTime!C:C,"Hovedkontoret")&gt;0,SUMIFS(TrackingTime!H:H,TrackingTime!F:F,Timer!B290,TrackingTime!C:C,"Hovedkontoret"),"")</f>
        <v/>
      </c>
      <c r="AA290" s="71" t="str">
        <f t="shared" si="300"/>
        <v/>
      </c>
      <c r="AB290" t="str">
        <f>IF(SUMIFS(TrackingTime!H:H,TrackingTime!F:F,Timer!B290,TrackingTime!C:C,Start!$F$3)&gt;0,SUMIFS(TrackingTime!H:H,TrackingTime!F:F,Timer!B290,TrackingTime!C:C,Start!$F$3),"")</f>
        <v/>
      </c>
      <c r="AC290" s="71" t="str">
        <f t="shared" si="303"/>
        <v/>
      </c>
    </row>
    <row r="291" spans="1:29" x14ac:dyDescent="0.25">
      <c r="A291" s="15">
        <f>WEEKNUM(B291,21)</f>
        <v>24</v>
      </c>
      <c r="B291" s="63">
        <f>B285+(DAY(1))</f>
        <v>46181</v>
      </c>
      <c r="C291" t="str">
        <f>IFERROR(IF(OR(L291="Fri",L291="Ferie",L291="Syk",L291="Omsorg",B291&lt;Start!$B$7),0,IF(IFERROR(MATCH(B291,Start!A$253:A$273,0),0)&gt;0,VLOOKUP(B291,Start!A$253:F$273,3,FALSE)/100*Start!$B$4,VLOOKUP(WEEKDAY(B291,2),Start!A$240:F$246,4,FALSE))),"")</f>
        <v/>
      </c>
      <c r="D291" t="str">
        <f>IFERROR(IF(OR(U291="Fri",U291="Ferie",U291="Syk",U291="Omsorg",B291&lt;Start!$F$7),0,IF(IFERROR(MATCH(B291,Start!A$253:A$273,0),0)&gt;0,VLOOKUP(B291,Start!A$253:F$273,3,FALSE)/100*Start!$F$4,VLOOKUP(WEEKDAY(B291,2),Start!A$240:F$246,6,FALSE))),"")</f>
        <v/>
      </c>
      <c r="E291">
        <f t="shared" ca="1" si="252"/>
        <v>0</v>
      </c>
      <c r="F291">
        <f>IFERROR(IF(YEAR(B291)=Start!$B$1,MONTH(B291),""),"")</f>
        <v>6</v>
      </c>
      <c r="G291" s="64" t="str">
        <f>IFERROR(VLOOKUP(B291,Start!A$111:B$273,2,FALSE),"")</f>
        <v/>
      </c>
      <c r="H291" s="21"/>
      <c r="I291" s="78">
        <v>0.33333333333333331</v>
      </c>
      <c r="J291" s="78">
        <v>0.33333333333333331</v>
      </c>
      <c r="K291" s="1" t="str">
        <f>IF(Start!$B$6="Ja","",IF(((J291-I291)*24)&gt;=5.5,"X",""))</f>
        <v/>
      </c>
      <c r="L291" s="1" t="str">
        <f>IF(_xlfn.IFNA(MATCH($A291,Start!$H$3:$H$11,0),0)&gt;0,"Ferie",IFERROR(IF(VLOOKUP(B291,Start!A$165:B$234,2,FALSE)&gt;0,"Fri",0),IF(AND((J291-I291)=0,Z291=""),"",MAX((IF(K291="X",(J291-I291)*24-0.5,(J291-I291)*24)),Z291))))</f>
        <v/>
      </c>
      <c r="M291" s="58"/>
      <c r="N291" s="21" t="str">
        <f t="shared" ref="N291:N297" si="324">IF(H291=0,"",H291)</f>
        <v/>
      </c>
      <c r="O291" s="21" t="str">
        <f t="shared" ref="O291:O297" si="325">IF(L291=0,"",L291)</f>
        <v/>
      </c>
      <c r="P291" s="2"/>
      <c r="Q291" s="21"/>
      <c r="R291" s="78">
        <v>0.33333333333333331</v>
      </c>
      <c r="S291" s="78">
        <v>0.33333333333333331</v>
      </c>
      <c r="T291" s="1" t="str">
        <f>IF(Start!$B$6="Ja","",IF(((S291-R291)*24)&gt;=5.5,"X",""))</f>
        <v/>
      </c>
      <c r="U291" s="1" t="str">
        <f>IF(_xlfn.IFNA(MATCH($A$15,Start!$H$3:$H$11,0),0)&gt;0,"Ferie",(IF(L291="fri","Fri",(IF(L291="syk","Syk",IF(L291="Ferie","Ferie",IF(AND((S291-R291)=0,AB291=""),"",MAX((IF(T291="X",(S291-R291)*24-0.5,(S291-R291)*24)),AB291))))))))</f>
        <v/>
      </c>
      <c r="V291" s="58"/>
      <c r="W291" s="21" t="str">
        <f t="shared" ref="W291:W297" si="326">IF(Q291=0,"",Q291)</f>
        <v/>
      </c>
      <c r="X291" s="21" t="str">
        <f t="shared" ref="X291:X297" si="327">IF(U291=0,"",U291)</f>
        <v/>
      </c>
      <c r="Z291" s="70" t="str">
        <f>IF(SUMIFS(TrackingTime!H:H,TrackingTime!F:F,Timer!B291,TrackingTime!C:C,"Hovedkontoret")&gt;0,SUMIFS(TrackingTime!H:H,TrackingTime!F:F,Timer!B291,TrackingTime!C:C,"Hovedkontoret"),"")</f>
        <v/>
      </c>
      <c r="AA291" s="71" t="str">
        <f t="shared" si="300"/>
        <v/>
      </c>
      <c r="AB291" t="str">
        <f>IF(SUMIFS(TrackingTime!H:H,TrackingTime!F:F,Timer!B291,TrackingTime!C:C,Start!$F$3)&gt;0,SUMIFS(TrackingTime!H:H,TrackingTime!F:F,Timer!B291,TrackingTime!C:C,Start!$F$3),"")</f>
        <v/>
      </c>
      <c r="AC291" s="71" t="str">
        <f t="shared" si="303"/>
        <v/>
      </c>
    </row>
    <row r="292" spans="1:29" x14ac:dyDescent="0.25">
      <c r="A292" s="15"/>
      <c r="B292" s="63">
        <f t="shared" ref="B292:B297" si="328">B291+DAY(1)</f>
        <v>46182</v>
      </c>
      <c r="C292" t="str">
        <f>IFERROR(IF(OR(L292="Fri",L292="Ferie",L292="Syk",L292="Omsorg",B292&lt;Start!$B$7),0,IF(IFERROR(MATCH(B292,Start!A$253:A$273,0),0)&gt;0,VLOOKUP(B292,Start!A$253:F$273,3,FALSE)/100*Start!$B$4,VLOOKUP(WEEKDAY(B292,2),Start!A$240:F$246,4,FALSE))),"")</f>
        <v/>
      </c>
      <c r="D292" t="str">
        <f>IFERROR(IF(OR(U292="Fri",U292="Ferie",U292="Syk",U292="Omsorg",B292&lt;Start!$F$7),0,IF(IFERROR(MATCH(B292,Start!A$253:A$273,0),0)&gt;0,VLOOKUP(B292,Start!A$253:F$273,3,FALSE)/100*Start!$F$4,VLOOKUP(WEEKDAY(B292,2),Start!A$240:F$246,6,FALSE))),"")</f>
        <v/>
      </c>
      <c r="E292">
        <f t="shared" ca="1" si="252"/>
        <v>0</v>
      </c>
      <c r="F292">
        <f>IFERROR(IF(YEAR(B292)=Start!$B$1,MONTH(B292),""),"")</f>
        <v>6</v>
      </c>
      <c r="G292" s="64" t="str">
        <f>IFERROR(VLOOKUP(B292,Start!A$111:B$273,2,FALSE),"")</f>
        <v/>
      </c>
      <c r="H292" s="21"/>
      <c r="I292" s="78">
        <v>0.33333333333333331</v>
      </c>
      <c r="J292" s="78">
        <v>0.33333333333333331</v>
      </c>
      <c r="K292" s="1" t="str">
        <f>IF(Start!$B$6="Ja","",IF(((J292-I292)*24)&gt;=5.5,"X",""))</f>
        <v/>
      </c>
      <c r="L292" s="1" t="str">
        <f>IF(_xlfn.IFNA(MATCH($A291,Start!$H$3:$H$11,0),0)&gt;0,"Ferie",IFERROR(IF(VLOOKUP($B292,Start!$A$165:$B$234,2,FALSE)&gt;0,"Fri",0),IF(AND((J292-I292)=0,Z292=""),"",MAX((IF(K292="X",(J292-I292)*24-0.5,(J292-I292)*24)),Z292))))</f>
        <v/>
      </c>
      <c r="M292" s="58"/>
      <c r="N292" s="21" t="str">
        <f t="shared" si="324"/>
        <v/>
      </c>
      <c r="O292" s="21" t="str">
        <f t="shared" si="325"/>
        <v/>
      </c>
      <c r="P292" s="2"/>
      <c r="Q292" s="21"/>
      <c r="R292" s="78">
        <v>0.33333333333333331</v>
      </c>
      <c r="S292" s="78">
        <v>0.33333333333333331</v>
      </c>
      <c r="T292" s="1" t="str">
        <f>IF(Start!$B$6="Ja","",IF(((S292-R292)*24)&gt;=5.5,"X",""))</f>
        <v/>
      </c>
      <c r="U292" s="1" t="str">
        <f>IF(_xlfn.IFNA(MATCH($A$15,Start!$H$3:$H$11,0),0)&gt;0,"Ferie",(IF(L292="fri","Fri",(IF(L292="syk","Syk",IF(L292="Ferie","Ferie",IF(AND((S292-R292)=0,AB292=""),"",MAX((IF(T292="X",(S292-R292)*24-0.5,(S292-R292)*24)),AB292))))))))</f>
        <v/>
      </c>
      <c r="V292" s="58"/>
      <c r="W292" s="21" t="str">
        <f t="shared" si="326"/>
        <v/>
      </c>
      <c r="X292" s="21" t="str">
        <f t="shared" si="327"/>
        <v/>
      </c>
      <c r="Z292" s="70" t="str">
        <f>IF(SUMIFS(TrackingTime!H:H,TrackingTime!F:F,Timer!B292,TrackingTime!C:C,"Hovedkontoret")&gt;0,SUMIFS(TrackingTime!H:H,TrackingTime!F:F,Timer!B292,TrackingTime!C:C,"Hovedkontoret"),"")</f>
        <v/>
      </c>
      <c r="AA292" s="71" t="str">
        <f t="shared" si="300"/>
        <v/>
      </c>
      <c r="AB292" t="str">
        <f>IF(SUMIFS(TrackingTime!H:H,TrackingTime!F:F,Timer!B292,TrackingTime!C:C,Start!$F$3)&gt;0,SUMIFS(TrackingTime!H:H,TrackingTime!F:F,Timer!B292,TrackingTime!C:C,Start!$F$3),"")</f>
        <v/>
      </c>
      <c r="AC292" s="71" t="str">
        <f t="shared" si="303"/>
        <v/>
      </c>
    </row>
    <row r="293" spans="1:29" x14ac:dyDescent="0.25">
      <c r="A293" s="15"/>
      <c r="B293" s="63">
        <f t="shared" si="328"/>
        <v>46183</v>
      </c>
      <c r="C293" t="str">
        <f>IFERROR(IF(OR(L293="Fri",L293="Ferie",L293="Syk",L293="Omsorg",B293&lt;Start!$B$7),0,IF(IFERROR(MATCH(B293,Start!A$253:A$273,0),0)&gt;0,VLOOKUP(B293,Start!A$253:F$273,3,FALSE)/100*Start!$B$4,VLOOKUP(WEEKDAY(B293,2),Start!A$240:F$246,4,FALSE))),"")</f>
        <v/>
      </c>
      <c r="D293" t="str">
        <f>IFERROR(IF(OR(U293="Fri",U293="Ferie",U293="Syk",U293="Omsorg",B293&lt;Start!$F$7),0,IF(IFERROR(MATCH(B293,Start!A$253:A$273,0),0)&gt;0,VLOOKUP(B293,Start!A$253:F$273,3,FALSE)/100*Start!$F$4,VLOOKUP(WEEKDAY(B293,2),Start!A$240:F$246,6,FALSE))),"")</f>
        <v/>
      </c>
      <c r="E293">
        <f t="shared" ca="1" si="252"/>
        <v>0</v>
      </c>
      <c r="F293">
        <f>IFERROR(IF(YEAR(B293)=Start!$B$1,MONTH(B293),""),"")</f>
        <v>6</v>
      </c>
      <c r="G293" s="64" t="str">
        <f>IFERROR(VLOOKUP(B293,Start!A$111:B$273,2,FALSE),"")</f>
        <v/>
      </c>
      <c r="H293" s="21"/>
      <c r="I293" s="78">
        <v>0.33333333333333331</v>
      </c>
      <c r="J293" s="78">
        <v>0.33333333333333331</v>
      </c>
      <c r="K293" s="1" t="str">
        <f>IF(Start!$B$6="Ja","",IF(((J293-I293)*24)&gt;=5.5,"X",""))</f>
        <v/>
      </c>
      <c r="L293" s="1" t="str">
        <f>IF(_xlfn.IFNA(MATCH($A291,Start!$H$3:$H$11,0),0)&gt;0,"Ferie",IFERROR(IF(VLOOKUP(B293,Start!A$165:B$234,2,FALSE)&gt;0,"Fri",0),IF(AND((J293-I293)=0,Z293=""),"",MAX((IF(K293="X",(J293-I293)*24-0.5,(J293-I293)*24)),Z293))))</f>
        <v/>
      </c>
      <c r="M293" s="58"/>
      <c r="N293" s="21" t="str">
        <f t="shared" si="324"/>
        <v/>
      </c>
      <c r="O293" s="21" t="str">
        <f t="shared" si="325"/>
        <v/>
      </c>
      <c r="P293" s="2"/>
      <c r="Q293" s="21"/>
      <c r="R293" s="78">
        <v>0.33333333333333331</v>
      </c>
      <c r="S293" s="78">
        <v>0.33333333333333331</v>
      </c>
      <c r="T293" s="1" t="str">
        <f>IF(Start!$B$6="Ja","",IF(((S293-R293)*24)&gt;=5.5,"X",""))</f>
        <v/>
      </c>
      <c r="U293" s="1" t="str">
        <f>IF(_xlfn.IFNA(MATCH($A$15,Start!$H$3:$H$11,0),0)&gt;0,"Ferie",(IF(L293="fri","Fri",(IF(L293="syk","Syk",IF(L293="Ferie","Ferie",IF(AND((S293-R293)=0,AB293=""),"",MAX((IF(T293="X",(S293-R293)*24-0.5,(S293-R293)*24)),AB293))))))))</f>
        <v/>
      </c>
      <c r="V293" s="58"/>
      <c r="W293" s="21" t="str">
        <f t="shared" si="326"/>
        <v/>
      </c>
      <c r="X293" s="21" t="str">
        <f t="shared" si="327"/>
        <v/>
      </c>
      <c r="Z293" s="70" t="str">
        <f>IF(SUMIFS(TrackingTime!H:H,TrackingTime!F:F,Timer!B293,TrackingTime!C:C,"Hovedkontoret")&gt;0,SUMIFS(TrackingTime!H:H,TrackingTime!F:F,Timer!B293,TrackingTime!C:C,"Hovedkontoret"),"")</f>
        <v/>
      </c>
      <c r="AA293" s="71" t="str">
        <f t="shared" si="300"/>
        <v/>
      </c>
      <c r="AB293" t="str">
        <f>IF(SUMIFS(TrackingTime!H:H,TrackingTime!F:F,Timer!B293,TrackingTime!C:C,Start!$F$3)&gt;0,SUMIFS(TrackingTime!H:H,TrackingTime!F:F,Timer!B293,TrackingTime!C:C,Start!$F$3),"")</f>
        <v/>
      </c>
      <c r="AC293" s="71" t="str">
        <f t="shared" si="303"/>
        <v/>
      </c>
    </row>
    <row r="294" spans="1:29" x14ac:dyDescent="0.25">
      <c r="A294" s="15"/>
      <c r="B294" s="63">
        <f t="shared" si="328"/>
        <v>46184</v>
      </c>
      <c r="C294" t="str">
        <f>IFERROR(IF(OR(L294="Fri",L294="Ferie",L294="Syk",L294="Omsorg",B294&lt;Start!$B$7),0,IF(IFERROR(MATCH(B294,Start!A$253:A$273,0),0)&gt;0,VLOOKUP(B294,Start!A$253:F$273,3,FALSE)/100*Start!$B$4,VLOOKUP(WEEKDAY(B294,2),Start!A$240:F$246,4,FALSE))),"")</f>
        <v/>
      </c>
      <c r="D294" t="str">
        <f>IFERROR(IF(OR(U294="Fri",U294="Ferie",U294="Syk",U294="Omsorg",B294&lt;Start!$F$7),0,IF(IFERROR(MATCH(B294,Start!A$253:A$273,0),0)&gt;0,VLOOKUP(B294,Start!A$253:F$273,3,FALSE)/100*Start!$F$4,VLOOKUP(WEEKDAY(B294,2),Start!A$240:F$246,6,FALSE))),"")</f>
        <v/>
      </c>
      <c r="E294">
        <f t="shared" ref="E294:E357" ca="1" si="329">IF(B294&gt;TODAY(),0,1)</f>
        <v>0</v>
      </c>
      <c r="F294">
        <f>IFERROR(IF(YEAR(B294)=Start!$B$1,MONTH(B294),""),"")</f>
        <v>6</v>
      </c>
      <c r="G294" s="64" t="str">
        <f>IFERROR(VLOOKUP(B294,Start!A$111:B$273,2,FALSE),"")</f>
        <v/>
      </c>
      <c r="H294" s="21"/>
      <c r="I294" s="78">
        <v>0.33333333333333331</v>
      </c>
      <c r="J294" s="78">
        <v>0.33333333333333331</v>
      </c>
      <c r="K294" s="1" t="str">
        <f>IF(Start!$B$6="Ja","",IF(((J294-I294)*24)&gt;=5.5,"X",""))</f>
        <v/>
      </c>
      <c r="L294" s="1" t="str">
        <f>IF(_xlfn.IFNA(MATCH($A291,Start!$H$3:$H$11,0),0)&gt;0,"Ferie",IFERROR(IF(VLOOKUP(B294,Start!A$165:B$234,2,FALSE)&gt;0,"Fri",0),IF(AND((J294-I294)=0,Z294=""),"",MAX((IF(K294="X",(J294-I294)*24-0.5,(J294-I294)*24)),Z294))))</f>
        <v/>
      </c>
      <c r="M294" s="58"/>
      <c r="N294" s="21" t="str">
        <f t="shared" si="324"/>
        <v/>
      </c>
      <c r="O294" s="21" t="str">
        <f t="shared" si="325"/>
        <v/>
      </c>
      <c r="P294" s="2"/>
      <c r="Q294" s="21"/>
      <c r="R294" s="78">
        <v>0.33333333333333331</v>
      </c>
      <c r="S294" s="78">
        <v>0.33333333333333331</v>
      </c>
      <c r="T294" s="1" t="str">
        <f>IF(Start!$B$6="Ja","",IF(((S294-R294)*24)&gt;=5.5,"X",""))</f>
        <v/>
      </c>
      <c r="U294" s="1" t="str">
        <f>IF(_xlfn.IFNA(MATCH($A$15,Start!$H$3:$H$11,0),0)&gt;0,"Ferie",(IF(L294="fri","Fri",(IF(L294="syk","Syk",IF(L294="Ferie","Ferie",IF(AND((S294-R294)=0,AB294=""),"",MAX((IF(T294="X",(S294-R294)*24-0.5,(S294-R294)*24)),AB294))))))))</f>
        <v/>
      </c>
      <c r="V294" s="58"/>
      <c r="W294" s="21" t="str">
        <f t="shared" si="326"/>
        <v/>
      </c>
      <c r="X294" s="21" t="str">
        <f t="shared" si="327"/>
        <v/>
      </c>
      <c r="Z294" s="70" t="str">
        <f>IF(SUMIFS(TrackingTime!H:H,TrackingTime!F:F,Timer!B294,TrackingTime!C:C,"Hovedkontoret")&gt;0,SUMIFS(TrackingTime!H:H,TrackingTime!F:F,Timer!B294,TrackingTime!C:C,"Hovedkontoret"),"")</f>
        <v/>
      </c>
      <c r="AA294" s="71" t="str">
        <f t="shared" si="300"/>
        <v/>
      </c>
      <c r="AB294" t="str">
        <f>IF(SUMIFS(TrackingTime!H:H,TrackingTime!F:F,Timer!B294,TrackingTime!C:C,Start!$F$3)&gt;0,SUMIFS(TrackingTime!H:H,TrackingTime!F:F,Timer!B294,TrackingTime!C:C,Start!$F$3),"")</f>
        <v/>
      </c>
      <c r="AC294" s="71" t="str">
        <f t="shared" si="303"/>
        <v/>
      </c>
    </row>
    <row r="295" spans="1:29" x14ac:dyDescent="0.25">
      <c r="A295" s="15"/>
      <c r="B295" s="63">
        <f t="shared" si="328"/>
        <v>46185</v>
      </c>
      <c r="C295" t="str">
        <f>IFERROR(IF(OR(L295="Fri",L295="Ferie",L295="Syk",L295="Omsorg",B295&lt;Start!$B$7),0,IF(IFERROR(MATCH(B295,Start!A$253:A$273,0),0)&gt;0,VLOOKUP(B295,Start!A$253:F$273,3,FALSE)/100*Start!$B$4,VLOOKUP(WEEKDAY(B295,2),Start!A$240:F$246,4,FALSE))),"")</f>
        <v/>
      </c>
      <c r="D295" t="str">
        <f>IFERROR(IF(OR(U295="Fri",U295="Ferie",U295="Syk",U295="Omsorg",B295&lt;Start!$F$7),0,IF(IFERROR(MATCH(B295,Start!A$253:A$273,0),0)&gt;0,VLOOKUP(B295,Start!A$253:F$273,3,FALSE)/100*Start!$F$4,VLOOKUP(WEEKDAY(B295,2),Start!A$240:F$246,6,FALSE))),"")</f>
        <v/>
      </c>
      <c r="E295">
        <f t="shared" ca="1" si="329"/>
        <v>0</v>
      </c>
      <c r="F295">
        <f>IFERROR(IF(YEAR(B295)=Start!$B$1,MONTH(B295),""),"")</f>
        <v>6</v>
      </c>
      <c r="G295" s="64" t="str">
        <f>IFERROR(VLOOKUP(B295,Start!A$111:B$273,2,FALSE),"")</f>
        <v/>
      </c>
      <c r="H295" s="21"/>
      <c r="I295" s="78">
        <v>0.33333333333333331</v>
      </c>
      <c r="J295" s="78">
        <v>0.33333333333333331</v>
      </c>
      <c r="K295" s="1" t="str">
        <f>IF(Start!$B$6="Ja","",IF(((J295-I295)*24)&gt;=5.5,"X",""))</f>
        <v/>
      </c>
      <c r="L295" s="1" t="str">
        <f>IF(_xlfn.IFNA(MATCH($A291,Start!$H$3:$H$11,0),0)&gt;0,"Ferie",IFERROR(IF(VLOOKUP(B295,Start!A$165:B$234,2,FALSE)&gt;0,"Fri",0),IF(AND((J295-I295)=0,Z295=""),"",MAX((IF(K295="X",(J295-I295)*24-0.5,(J295-I295)*24)),Z295))))</f>
        <v/>
      </c>
      <c r="M295" s="58"/>
      <c r="N295" s="21" t="str">
        <f t="shared" si="324"/>
        <v/>
      </c>
      <c r="O295" s="21" t="str">
        <f t="shared" si="325"/>
        <v/>
      </c>
      <c r="P295" s="2"/>
      <c r="Q295" s="21"/>
      <c r="R295" s="78">
        <v>0.33333333333333331</v>
      </c>
      <c r="S295" s="78">
        <v>0.33333333333333331</v>
      </c>
      <c r="T295" s="1" t="str">
        <f>IF(Start!$B$6="Ja","",IF(((S295-R295)*24)&gt;=5.5,"X",""))</f>
        <v/>
      </c>
      <c r="U295" s="1" t="str">
        <f>IF(_xlfn.IFNA(MATCH($A$15,Start!$H$3:$H$11,0),0)&gt;0,"Ferie",(IF(L295="fri","Fri",(IF(L295="syk","Syk",IF(L295="Ferie","Ferie",IF(AND((S295-R295)=0,AB295=""),"",MAX((IF(T295="X",(S295-R295)*24-0.5,(S295-R295)*24)),AB295))))))))</f>
        <v/>
      </c>
      <c r="V295" s="58"/>
      <c r="W295" s="21" t="str">
        <f t="shared" si="326"/>
        <v/>
      </c>
      <c r="X295" s="21" t="str">
        <f t="shared" si="327"/>
        <v/>
      </c>
      <c r="Z295" s="70" t="str">
        <f>IF(SUMIFS(TrackingTime!H:H,TrackingTime!F:F,Timer!B295,TrackingTime!C:C,"Hovedkontoret")&gt;0,SUMIFS(TrackingTime!H:H,TrackingTime!F:F,Timer!B295,TrackingTime!C:C,"Hovedkontoret"),"")</f>
        <v/>
      </c>
      <c r="AA295" s="71" t="str">
        <f t="shared" si="300"/>
        <v/>
      </c>
      <c r="AB295" t="str">
        <f>IF(SUMIFS(TrackingTime!H:H,TrackingTime!F:F,Timer!B295,TrackingTime!C:C,Start!$F$3)&gt;0,SUMIFS(TrackingTime!H:H,TrackingTime!F:F,Timer!B295,TrackingTime!C:C,Start!$F$3),"")</f>
        <v/>
      </c>
      <c r="AC295" s="71" t="str">
        <f t="shared" si="303"/>
        <v/>
      </c>
    </row>
    <row r="296" spans="1:29" x14ac:dyDescent="0.25">
      <c r="A296" s="15"/>
      <c r="B296" s="63">
        <f t="shared" si="328"/>
        <v>46186</v>
      </c>
      <c r="C296">
        <f>IFERROR(IF(OR(L296="Fri",L296="Ferie",L296="Syk",L296="Omsorg",B296&lt;Start!$B$7),0,IF(IFERROR(MATCH(B296,Start!A$253:A$273,0),0)&gt;0,VLOOKUP(B296,Start!A$253:F$273,3,FALSE)/100*Start!$B$4,VLOOKUP(WEEKDAY(B296,2),Start!A$240:F$246,4,FALSE))),"")</f>
        <v>0</v>
      </c>
      <c r="D296">
        <f>IFERROR(IF(OR(U296="Fri",U296="Ferie",U296="Syk",U296="Omsorg",B296&lt;Start!$F$7),0,IF(IFERROR(MATCH(B296,Start!A$253:A$273,0),0)&gt;0,VLOOKUP(B296,Start!A$253:F$273,3,FALSE)/100*Start!$F$4,VLOOKUP(WEEKDAY(B296,2),Start!A$240:F$246,6,FALSE))),"")</f>
        <v>0</v>
      </c>
      <c r="E296">
        <f t="shared" ca="1" si="329"/>
        <v>0</v>
      </c>
      <c r="F296">
        <f>IFERROR(IF(YEAR(B296)=Start!$B$1,MONTH(B296),""),"")</f>
        <v>6</v>
      </c>
      <c r="G296" s="64" t="str">
        <f>IFERROR(VLOOKUP(B296,Start!A$111:B$273,2,FALSE),"")</f>
        <v/>
      </c>
      <c r="H296" s="21"/>
      <c r="I296" s="78">
        <v>0.41666666666666669</v>
      </c>
      <c r="J296" s="78">
        <v>0.41666666666666669</v>
      </c>
      <c r="K296" s="1" t="str">
        <f>IF(Start!$B$6="Ja","",IF(((J296-I296)*24)&gt;=5.5,"X",""))</f>
        <v/>
      </c>
      <c r="L296" s="1" t="str">
        <f t="shared" ref="L296:L297" si="330">IF(AND((J296-I296)=0,Z296=""),"",MAX((IF(K296="X",(J296-I296)*24-0.5,(J296-I296)*24)),Z296))</f>
        <v/>
      </c>
      <c r="M296" s="58"/>
      <c r="N296" s="21" t="str">
        <f t="shared" si="324"/>
        <v/>
      </c>
      <c r="O296" s="21" t="str">
        <f t="shared" si="325"/>
        <v/>
      </c>
      <c r="P296" s="2"/>
      <c r="Q296" s="21"/>
      <c r="R296" s="78">
        <v>0.41666666666666669</v>
      </c>
      <c r="S296" s="78">
        <v>0.41666666666666669</v>
      </c>
      <c r="T296" s="1" t="str">
        <f>IF(Start!$B$6="Ja","",IF(((S296-R296)*24)&gt;=5.5,"X",""))</f>
        <v/>
      </c>
      <c r="U296" s="1" t="str">
        <f t="shared" ref="U296:U297" si="331">IF(AND((S296-R296)=0,AB296=""),"",MAX((IF(T296="X",(S296-R296)*24-0.5,(S296-R296)*24)),AB296))</f>
        <v/>
      </c>
      <c r="V296" s="58"/>
      <c r="W296" s="21" t="str">
        <f t="shared" si="326"/>
        <v/>
      </c>
      <c r="X296" s="21" t="str">
        <f t="shared" si="327"/>
        <v/>
      </c>
      <c r="Z296" s="70" t="str">
        <f>IF(SUMIFS(TrackingTime!H:H,TrackingTime!F:F,Timer!B296,TrackingTime!C:C,"Hovedkontoret")&gt;0,SUMIFS(TrackingTime!H:H,TrackingTime!F:F,Timer!B296,TrackingTime!C:C,"Hovedkontoret"),"")</f>
        <v/>
      </c>
      <c r="AA296" s="71" t="str">
        <f t="shared" si="300"/>
        <v/>
      </c>
      <c r="AB296" t="str">
        <f>IF(SUMIFS(TrackingTime!H:H,TrackingTime!F:F,Timer!B296,TrackingTime!C:C,Start!$F$3)&gt;0,SUMIFS(TrackingTime!H:H,TrackingTime!F:F,Timer!B296,TrackingTime!C:C,Start!$F$3),"")</f>
        <v/>
      </c>
      <c r="AC296" s="71" t="str">
        <f t="shared" si="303"/>
        <v/>
      </c>
    </row>
    <row r="297" spans="1:29" x14ac:dyDescent="0.25">
      <c r="A297" s="15"/>
      <c r="B297" s="63">
        <f t="shared" si="328"/>
        <v>46187</v>
      </c>
      <c r="C297">
        <f>IFERROR(IF(OR(L297="Fri",L297="Ferie",L297="Syk",L297="Omsorg",B297&lt;Start!$B$7),0,IF(IFERROR(MATCH(B297,Start!A$253:A$273,0),0)&gt;0,VLOOKUP(B297,Start!A$253:F$273,3,FALSE)/100*Start!$B$4,VLOOKUP(WEEKDAY(B297,2),Start!A$240:F$246,4,FALSE))),"")</f>
        <v>0</v>
      </c>
      <c r="D297">
        <f>IFERROR(IF(OR(U297="Fri",U297="Ferie",U297="Syk",U297="Omsorg",B297&lt;Start!$F$7),0,IF(IFERROR(MATCH(B297,Start!A$253:A$273,0),0)&gt;0,VLOOKUP(B297,Start!A$253:F$273,3,FALSE)/100*Start!$F$4,VLOOKUP(WEEKDAY(B297,2),Start!A$240:F$246,6,FALSE))),"")</f>
        <v>0</v>
      </c>
      <c r="E297">
        <f t="shared" ca="1" si="329"/>
        <v>0</v>
      </c>
      <c r="F297">
        <f>IFERROR(IF(YEAR(B297)=Start!$B$1,MONTH(B297),""),"")</f>
        <v>6</v>
      </c>
      <c r="G297" s="64" t="str">
        <f>IFERROR(VLOOKUP(B297,Start!A$111:B$273,2,FALSE),"")</f>
        <v/>
      </c>
      <c r="H297" s="25"/>
      <c r="I297" s="78">
        <v>0.41666666666666669</v>
      </c>
      <c r="J297" s="78">
        <v>0.41666666666666669</v>
      </c>
      <c r="K297" s="1" t="str">
        <f>IF(Start!$B$6="Ja","",IF(((J297-I297)*24)&gt;=5.5,"X",""))</f>
        <v/>
      </c>
      <c r="L297" s="1" t="str">
        <f t="shared" si="330"/>
        <v/>
      </c>
      <c r="M297" s="58"/>
      <c r="N297" s="21" t="str">
        <f t="shared" si="324"/>
        <v/>
      </c>
      <c r="O297" s="21" t="str">
        <f t="shared" si="325"/>
        <v/>
      </c>
      <c r="Q297" s="25"/>
      <c r="R297" s="78">
        <v>0.41666666666666669</v>
      </c>
      <c r="S297" s="78">
        <v>0.41666666666666669</v>
      </c>
      <c r="T297" s="1" t="str">
        <f>IF(Start!$B$6="Ja","",IF(((S297-R297)*24)&gt;=5.5,"X",""))</f>
        <v/>
      </c>
      <c r="U297" s="1" t="str">
        <f t="shared" si="331"/>
        <v/>
      </c>
      <c r="V297" s="58"/>
      <c r="W297" s="21" t="str">
        <f t="shared" si="326"/>
        <v/>
      </c>
      <c r="X297" s="21" t="str">
        <f t="shared" si="327"/>
        <v/>
      </c>
      <c r="Z297" s="70" t="str">
        <f>IF(SUMIFS(TrackingTime!H:H,TrackingTime!F:F,Timer!B297,TrackingTime!C:C,"Hovedkontoret")&gt;0,SUMIFS(TrackingTime!H:H,TrackingTime!F:F,Timer!B297,TrackingTime!C:C,"Hovedkontoret"),"")</f>
        <v/>
      </c>
      <c r="AA297" s="71" t="str">
        <f t="shared" si="300"/>
        <v/>
      </c>
      <c r="AB297" t="str">
        <f>IF(SUMIFS(TrackingTime!H:H,TrackingTime!F:F,Timer!B297,TrackingTime!C:C,Start!$F$3)&gt;0,SUMIFS(TrackingTime!H:H,TrackingTime!F:F,Timer!B297,TrackingTime!C:C,Start!$F$3),"")</f>
        <v/>
      </c>
      <c r="AC297" s="71" t="str">
        <f t="shared" si="303"/>
        <v/>
      </c>
    </row>
    <row r="298" spans="1:29" x14ac:dyDescent="0.25">
      <c r="A298" s="15"/>
      <c r="B298" s="4" t="s">
        <v>11</v>
      </c>
      <c r="C298" s="24"/>
      <c r="D298" s="24"/>
      <c r="E298" s="24">
        <f t="shared" ca="1" si="329"/>
        <v>0</v>
      </c>
      <c r="F298" s="24" t="str">
        <f>IFERROR(IF(YEAR(B298)=Start!$B$1,MONTH(B298),""),"")</f>
        <v/>
      </c>
      <c r="G298" s="64" t="str">
        <f>IFERROR(VLOOKUP(B298,Start!A$111:B$273,2,FALSE),"")</f>
        <v/>
      </c>
      <c r="H298" s="4"/>
      <c r="I298" s="4"/>
      <c r="J298" s="4"/>
      <c r="K298" s="4"/>
      <c r="L298" s="5">
        <f t="shared" si="260"/>
        <v>0</v>
      </c>
      <c r="N298" s="24"/>
      <c r="O298" s="39">
        <f t="shared" ref="O298" si="332">SUM(O291:O297)</f>
        <v>0</v>
      </c>
      <c r="P298" s="40"/>
      <c r="Q298" s="41"/>
      <c r="R298" s="4"/>
      <c r="S298" s="4"/>
      <c r="T298" s="4"/>
      <c r="U298" s="5">
        <f t="shared" ref="U298" si="333">SUM($U291:$U297)</f>
        <v>0</v>
      </c>
      <c r="V298" s="58"/>
      <c r="W298" s="39"/>
      <c r="X298" s="39">
        <f t="shared" si="319"/>
        <v>0</v>
      </c>
      <c r="Z298" s="70" t="str">
        <f>IF(SUMIFS(TrackingTime!H:H,TrackingTime!F:F,Timer!B298,TrackingTime!C:C,"Hovedkontoret")&gt;0,SUMIFS(TrackingTime!H:H,TrackingTime!F:F,Timer!B298,TrackingTime!C:C,"Hovedkontoret"),"")</f>
        <v/>
      </c>
      <c r="AA298" s="71" t="str">
        <f t="shared" si="300"/>
        <v/>
      </c>
      <c r="AB298" t="str">
        <f>IF(SUMIFS(TrackingTime!H:H,TrackingTime!F:F,Timer!B298,TrackingTime!C:C,Start!$F$3)&gt;0,SUMIFS(TrackingTime!H:H,TrackingTime!F:F,Timer!B298,TrackingTime!C:C,Start!$F$3),"")</f>
        <v/>
      </c>
      <c r="AC298" s="71" t="str">
        <f t="shared" si="303"/>
        <v/>
      </c>
    </row>
    <row r="299" spans="1:29" x14ac:dyDescent="0.25">
      <c r="A299" s="15"/>
      <c r="B299" t="s">
        <v>90</v>
      </c>
      <c r="E299">
        <f t="shared" ca="1" si="329"/>
        <v>0</v>
      </c>
      <c r="F299" t="str">
        <f>IFERROR(IF(YEAR(B299)=Start!$B$1,MONTH(B299),""),"")</f>
        <v/>
      </c>
      <c r="G299" s="64" t="str">
        <f>IFERROR(VLOOKUP(B299,Start!A$111:B$273,2,FALSE),"")</f>
        <v/>
      </c>
      <c r="L299" s="1">
        <f t="shared" si="263"/>
        <v>0</v>
      </c>
      <c r="M299" s="1"/>
      <c r="N299" s="1"/>
      <c r="O299" s="21">
        <f t="shared" ref="O299" si="334">L299</f>
        <v>0</v>
      </c>
      <c r="P299" s="40"/>
      <c r="Q299" s="21"/>
      <c r="U299" s="1">
        <f t="shared" ref="U299" si="335">SUMIFS(D291:D297,F291:F297,"&gt;0")</f>
        <v>0</v>
      </c>
      <c r="V299" s="1"/>
      <c r="W299" s="1"/>
      <c r="X299" s="21">
        <f>U299</f>
        <v>0</v>
      </c>
      <c r="Z299" s="70" t="str">
        <f>IF(SUMIFS(TrackingTime!H:H,TrackingTime!F:F,Timer!B299,TrackingTime!C:C,"Hovedkontoret")&gt;0,SUMIFS(TrackingTime!H:H,TrackingTime!F:F,Timer!B299,TrackingTime!C:C,"Hovedkontoret"),"")</f>
        <v/>
      </c>
      <c r="AA299" s="71" t="str">
        <f t="shared" si="300"/>
        <v/>
      </c>
      <c r="AB299" t="str">
        <f>IF(SUMIFS(TrackingTime!H:H,TrackingTime!F:F,Timer!B299,TrackingTime!C:C,Start!$F$3)&gt;0,SUMIFS(TrackingTime!H:H,TrackingTime!F:F,Timer!B299,TrackingTime!C:C,Start!$F$3),"")</f>
        <v/>
      </c>
      <c r="AC299" s="71" t="str">
        <f t="shared" si="303"/>
        <v/>
      </c>
    </row>
    <row r="300" spans="1:29" x14ac:dyDescent="0.25">
      <c r="A300" s="16">
        <f>B297-B291-1</f>
        <v>5</v>
      </c>
      <c r="B300" t="s">
        <v>117</v>
      </c>
      <c r="E300">
        <f t="shared" ca="1" si="329"/>
        <v>0</v>
      </c>
      <c r="F300" t="str">
        <f>IFERROR(IF(YEAR(B300)=Start!$B$1,MONTH(B300),""),"")</f>
        <v/>
      </c>
      <c r="G300" s="64" t="str">
        <f>IFERROR(VLOOKUP(B300,Start!A$111:B$273,2,FALSE),"")</f>
        <v/>
      </c>
      <c r="L300" s="77">
        <f t="shared" ca="1" si="266"/>
        <v>0</v>
      </c>
      <c r="O300" s="21">
        <f t="shared" ref="O300" si="336">O298-O299</f>
        <v>0</v>
      </c>
      <c r="P300" s="21"/>
      <c r="Q300" s="21"/>
      <c r="U300" s="1">
        <f t="shared" ref="U300" ca="1" si="337">U298-U299*(IF(NETWORKDAYS($B291,TODAY())&lt;0,0,IF(NETWORKDAYS($B291,TODAY())&lt;=$A300,NETWORKDAYS($B291,TODAY()),$A300)))/$A300</f>
        <v>0</v>
      </c>
      <c r="V300" s="58"/>
      <c r="W300" s="21"/>
      <c r="X300" s="21">
        <f>X298-X299</f>
        <v>0</v>
      </c>
      <c r="Z300" s="70" t="str">
        <f>IF(SUMIFS(TrackingTime!H:H,TrackingTime!F:F,Timer!B300,TrackingTime!C:C,"Hovedkontoret")&gt;0,SUMIFS(TrackingTime!H:H,TrackingTime!F:F,Timer!B300,TrackingTime!C:C,"Hovedkontoret"),"")</f>
        <v/>
      </c>
      <c r="AA300" s="71" t="str">
        <f t="shared" si="300"/>
        <v/>
      </c>
      <c r="AB300" t="str">
        <f>IF(SUMIFS(TrackingTime!H:H,TrackingTime!F:F,Timer!B300,TrackingTime!C:C,Start!$F$3)&gt;0,SUMIFS(TrackingTime!H:H,TrackingTime!F:F,Timer!B300,TrackingTime!C:C,Start!$F$3),"")</f>
        <v/>
      </c>
      <c r="AC300" s="71" t="str">
        <f t="shared" si="303"/>
        <v/>
      </c>
    </row>
    <row r="301" spans="1:29" x14ac:dyDescent="0.25">
      <c r="A301" s="15"/>
      <c r="E301">
        <f t="shared" ca="1" si="329"/>
        <v>1</v>
      </c>
      <c r="F301" t="str">
        <f>IFERROR(IF(YEAR(B301)=Start!$B$1,MONTH(B301),""),"")</f>
        <v/>
      </c>
      <c r="G301" s="64" t="str">
        <f>IFERROR(VLOOKUP(B301,Start!A$111:B$273,2,FALSE),"")</f>
        <v/>
      </c>
      <c r="O301" s="2"/>
      <c r="P301" s="2"/>
      <c r="U301" s="1"/>
      <c r="V301" s="7"/>
      <c r="X301" s="2"/>
      <c r="Z301" s="70" t="str">
        <f>IF(SUMIFS(TrackingTime!H:H,TrackingTime!F:F,Timer!B301,TrackingTime!C:C,"Hovedkontoret")&gt;0,SUMIFS(TrackingTime!H:H,TrackingTime!F:F,Timer!B301,TrackingTime!C:C,"Hovedkontoret"),"")</f>
        <v/>
      </c>
      <c r="AA301" s="71" t="str">
        <f t="shared" si="300"/>
        <v/>
      </c>
      <c r="AB301" t="str">
        <f>IF(SUMIFS(TrackingTime!H:H,TrackingTime!F:F,Timer!B301,TrackingTime!C:C,Start!$F$3)&gt;0,SUMIFS(TrackingTime!H:H,TrackingTime!F:F,Timer!B301,TrackingTime!C:C,Start!$F$3),"")</f>
        <v/>
      </c>
      <c r="AC301" s="71" t="str">
        <f t="shared" si="303"/>
        <v/>
      </c>
    </row>
    <row r="302" spans="1:29" x14ac:dyDescent="0.25">
      <c r="A302" s="2" t="s">
        <v>82</v>
      </c>
      <c r="B302" s="14" t="s">
        <v>83</v>
      </c>
      <c r="E302">
        <f t="shared" ca="1" si="329"/>
        <v>0</v>
      </c>
      <c r="F302" t="str">
        <f>IFERROR(IF(YEAR(B302)=Start!$B$1,MONTH(B302),""),"")</f>
        <v/>
      </c>
      <c r="G302" s="64" t="str">
        <f>IFERROR(VLOOKUP(B302,Start!A$111:B$273,2,FALSE),"")</f>
        <v/>
      </c>
      <c r="H302" s="2" t="s">
        <v>86</v>
      </c>
      <c r="I302" s="2" t="s">
        <v>125</v>
      </c>
      <c r="J302" s="2" t="s">
        <v>126</v>
      </c>
      <c r="K302" s="2" t="s">
        <v>127</v>
      </c>
      <c r="L302" s="3" t="s">
        <v>87</v>
      </c>
      <c r="M302" s="6"/>
      <c r="N302" s="2" t="s">
        <v>88</v>
      </c>
      <c r="O302" s="2" t="s">
        <v>89</v>
      </c>
      <c r="P302" s="2"/>
      <c r="Q302" s="2" t="s">
        <v>86</v>
      </c>
      <c r="R302" s="2" t="s">
        <v>125</v>
      </c>
      <c r="S302" s="2" t="s">
        <v>126</v>
      </c>
      <c r="T302" s="2" t="s">
        <v>127</v>
      </c>
      <c r="U302" s="3" t="s">
        <v>87</v>
      </c>
      <c r="V302" s="6"/>
      <c r="W302" s="2" t="s">
        <v>88</v>
      </c>
      <c r="X302" s="2" t="s">
        <v>89</v>
      </c>
      <c r="Z302" s="70" t="str">
        <f>IF(SUMIFS(TrackingTime!H:H,TrackingTime!F:F,Timer!B302,TrackingTime!C:C,"Hovedkontoret")&gt;0,SUMIFS(TrackingTime!H:H,TrackingTime!F:F,Timer!B302,TrackingTime!C:C,"Hovedkontoret"),"")</f>
        <v/>
      </c>
      <c r="AA302" s="71" t="str">
        <f t="shared" si="300"/>
        <v/>
      </c>
      <c r="AB302" t="str">
        <f>IF(SUMIFS(TrackingTime!H:H,TrackingTime!F:F,Timer!B302,TrackingTime!C:C,Start!$F$3)&gt;0,SUMIFS(TrackingTime!H:H,TrackingTime!F:F,Timer!B302,TrackingTime!C:C,Start!$F$3),"")</f>
        <v/>
      </c>
      <c r="AC302" s="71" t="str">
        <f t="shared" si="303"/>
        <v/>
      </c>
    </row>
    <row r="303" spans="1:29" x14ac:dyDescent="0.25">
      <c r="A303" s="15">
        <f>WEEKNUM(B303,21)</f>
        <v>25</v>
      </c>
      <c r="B303" s="63">
        <f>B297+(DAY(1))</f>
        <v>46188</v>
      </c>
      <c r="C303" t="str">
        <f>IFERROR(IF(OR(L303="Fri",L303="Ferie",L303="Syk",L303="Omsorg",B303&lt;Start!$B$7),0,IF(IFERROR(MATCH(B303,Start!A$253:A$273,0),0)&gt;0,VLOOKUP(B303,Start!A$253:F$273,3,FALSE)/100*Start!$B$4,VLOOKUP(WEEKDAY(B303,2),Start!A$240:F$246,4,FALSE))),"")</f>
        <v/>
      </c>
      <c r="D303" t="str">
        <f>IFERROR(IF(OR(U303="Fri",U303="Ferie",U303="Syk",U303="Omsorg",B303&lt;Start!$F$7),0,IF(IFERROR(MATCH(B303,Start!A$253:A$273,0),0)&gt;0,VLOOKUP(B303,Start!A$253:F$273,3,FALSE)/100*Start!$F$4,VLOOKUP(WEEKDAY(B303,2),Start!A$240:F$246,6,FALSE))),"")</f>
        <v/>
      </c>
      <c r="E303">
        <f t="shared" ca="1" si="329"/>
        <v>0</v>
      </c>
      <c r="F303">
        <f>IFERROR(IF(YEAR(B303)=Start!$B$1,MONTH(B303),""),"")</f>
        <v>6</v>
      </c>
      <c r="G303" s="64" t="str">
        <f>IFERROR(VLOOKUP(B303,Start!A$111:B$273,2,FALSE),"")</f>
        <v/>
      </c>
      <c r="H303" s="21"/>
      <c r="I303" s="78">
        <v>0.33333333333333331</v>
      </c>
      <c r="J303" s="78">
        <v>0.33333333333333331</v>
      </c>
      <c r="K303" s="1" t="str">
        <f>IF(Start!$B$6="Ja","",IF(((J303-I303)*24)&gt;=5.5,"X",""))</f>
        <v/>
      </c>
      <c r="L303" s="1" t="str">
        <f>IF(_xlfn.IFNA(MATCH($A303,Start!$H$3:$H$11,0),0)&gt;0,"Ferie",IFERROR(IF(VLOOKUP(B303,Start!A$165:B$234,2,FALSE)&gt;0,"Fri",0),IF(AND((J303-I303)=0,Z303=""),"",MAX((IF(K303="X",(J303-I303)*24-0.5,(J303-I303)*24)),Z303))))</f>
        <v/>
      </c>
      <c r="M303" s="58"/>
      <c r="N303" s="21" t="str">
        <f t="shared" ref="N303:N309" si="338">IF(H303=0,"",H303)</f>
        <v/>
      </c>
      <c r="O303" s="21" t="str">
        <f t="shared" ref="O303:O309" si="339">IF(L303=0,"",L303)</f>
        <v/>
      </c>
      <c r="P303" s="2"/>
      <c r="Q303" s="21"/>
      <c r="R303" s="78">
        <v>0.33333333333333331</v>
      </c>
      <c r="S303" s="78">
        <v>0.33333333333333331</v>
      </c>
      <c r="T303" s="1" t="str">
        <f>IF(Start!$B$6="Ja","",IF(((S303-R303)*24)&gt;=5.5,"X",""))</f>
        <v/>
      </c>
      <c r="U303" s="1" t="str">
        <f>IF(_xlfn.IFNA(MATCH($A$15,Start!$H$3:$H$11,0),0)&gt;0,"Ferie",(IF(L303="fri","Fri",(IF(L303="syk","Syk",IF(L303="Ferie","Ferie",IF(AND((S303-R303)=0,AB303=""),"",MAX((IF(T303="X",(S303-R303)*24-0.5,(S303-R303)*24)),AB303))))))))</f>
        <v/>
      </c>
      <c r="V303" s="58"/>
      <c r="W303" s="21" t="str">
        <f t="shared" ref="W303:W309" si="340">IF(Q303=0,"",Q303)</f>
        <v/>
      </c>
      <c r="X303" s="21" t="str">
        <f t="shared" ref="X303:X309" si="341">IF(U303=0,"",U303)</f>
        <v/>
      </c>
      <c r="Z303" s="70" t="str">
        <f>IF(SUMIFS(TrackingTime!H:H,TrackingTime!F:F,Timer!B303,TrackingTime!C:C,"Hovedkontoret")&gt;0,SUMIFS(TrackingTime!H:H,TrackingTime!F:F,Timer!B303,TrackingTime!C:C,"Hovedkontoret"),"")</f>
        <v/>
      </c>
      <c r="AA303" s="71" t="str">
        <f t="shared" si="300"/>
        <v/>
      </c>
      <c r="AB303" t="str">
        <f>IF(SUMIFS(TrackingTime!H:H,TrackingTime!F:F,Timer!B303,TrackingTime!C:C,Start!$F$3)&gt;0,SUMIFS(TrackingTime!H:H,TrackingTime!F:F,Timer!B303,TrackingTime!C:C,Start!$F$3),"")</f>
        <v/>
      </c>
      <c r="AC303" s="71" t="str">
        <f t="shared" si="303"/>
        <v/>
      </c>
    </row>
    <row r="304" spans="1:29" x14ac:dyDescent="0.25">
      <c r="A304" s="15"/>
      <c r="B304" s="63">
        <f t="shared" ref="B304:B309" si="342">B303+DAY(1)</f>
        <v>46189</v>
      </c>
      <c r="C304" t="str">
        <f>IFERROR(IF(OR(L304="Fri",L304="Ferie",L304="Syk",L304="Omsorg",B304&lt;Start!$B$7),0,IF(IFERROR(MATCH(B304,Start!A$253:A$273,0),0)&gt;0,VLOOKUP(B304,Start!A$253:F$273,3,FALSE)/100*Start!$B$4,VLOOKUP(WEEKDAY(B304,2),Start!A$240:F$246,4,FALSE))),"")</f>
        <v/>
      </c>
      <c r="D304" t="str">
        <f>IFERROR(IF(OR(U304="Fri",U304="Ferie",U304="Syk",U304="Omsorg",B304&lt;Start!$F$7),0,IF(IFERROR(MATCH(B304,Start!A$253:A$273,0),0)&gt;0,VLOOKUP(B304,Start!A$253:F$273,3,FALSE)/100*Start!$F$4,VLOOKUP(WEEKDAY(B304,2),Start!A$240:F$246,6,FALSE))),"")</f>
        <v/>
      </c>
      <c r="E304">
        <f t="shared" ca="1" si="329"/>
        <v>0</v>
      </c>
      <c r="F304">
        <f>IFERROR(IF(YEAR(B304)=Start!$B$1,MONTH(B304),""),"")</f>
        <v>6</v>
      </c>
      <c r="G304" s="64" t="str">
        <f>IFERROR(VLOOKUP(B304,Start!A$111:B$273,2,FALSE),"")</f>
        <v/>
      </c>
      <c r="H304" s="21"/>
      <c r="I304" s="78">
        <v>0.33333333333333331</v>
      </c>
      <c r="J304" s="78">
        <v>0.33333333333333331</v>
      </c>
      <c r="K304" s="1" t="str">
        <f>IF(Start!$B$6="Ja","",IF(((J304-I304)*24)&gt;=5.5,"X",""))</f>
        <v/>
      </c>
      <c r="L304" s="1" t="str">
        <f>IF(_xlfn.IFNA(MATCH($A303,Start!$H$3:$H$11,0),0)&gt;0,"Ferie",IFERROR(IF(VLOOKUP($B304,Start!$A$165:$B$234,2,FALSE)&gt;0,"Fri",0),IF(AND((J304-I304)=0,Z304=""),"",MAX((IF(K304="X",(J304-I304)*24-0.5,(J304-I304)*24)),Z304))))</f>
        <v/>
      </c>
      <c r="M304" s="58"/>
      <c r="N304" s="21" t="str">
        <f t="shared" si="338"/>
        <v/>
      </c>
      <c r="O304" s="21" t="str">
        <f t="shared" si="339"/>
        <v/>
      </c>
      <c r="P304" s="2"/>
      <c r="Q304" s="21"/>
      <c r="R304" s="78">
        <v>0.33333333333333331</v>
      </c>
      <c r="S304" s="78">
        <v>0.33333333333333331</v>
      </c>
      <c r="T304" s="1" t="str">
        <f>IF(Start!$B$6="Ja","",IF(((S304-R304)*24)&gt;=5.5,"X",""))</f>
        <v/>
      </c>
      <c r="U304" s="1" t="str">
        <f>IF(_xlfn.IFNA(MATCH($A$15,Start!$H$3:$H$11,0),0)&gt;0,"Ferie",(IF(L304="fri","Fri",(IF(L304="syk","Syk",IF(L304="Ferie","Ferie",IF(AND((S304-R304)=0,AB304=""),"",MAX((IF(T304="X",(S304-R304)*24-0.5,(S304-R304)*24)),AB304))))))))</f>
        <v/>
      </c>
      <c r="V304" s="58"/>
      <c r="W304" s="21" t="str">
        <f t="shared" si="340"/>
        <v/>
      </c>
      <c r="X304" s="21" t="str">
        <f t="shared" si="341"/>
        <v/>
      </c>
      <c r="Z304" s="70" t="str">
        <f>IF(SUMIFS(TrackingTime!H:H,TrackingTime!F:F,Timer!B304,TrackingTime!C:C,"Hovedkontoret")&gt;0,SUMIFS(TrackingTime!H:H,TrackingTime!F:F,Timer!B304,TrackingTime!C:C,"Hovedkontoret"),"")</f>
        <v/>
      </c>
      <c r="AA304" s="71" t="str">
        <f t="shared" si="300"/>
        <v/>
      </c>
      <c r="AB304" t="str">
        <f>IF(SUMIFS(TrackingTime!H:H,TrackingTime!F:F,Timer!B304,TrackingTime!C:C,Start!$F$3)&gt;0,SUMIFS(TrackingTime!H:H,TrackingTime!F:F,Timer!B304,TrackingTime!C:C,Start!$F$3),"")</f>
        <v/>
      </c>
      <c r="AC304" s="71" t="str">
        <f t="shared" si="303"/>
        <v/>
      </c>
    </row>
    <row r="305" spans="1:29" x14ac:dyDescent="0.25">
      <c r="A305" s="15"/>
      <c r="B305" s="63">
        <f t="shared" si="342"/>
        <v>46190</v>
      </c>
      <c r="C305" t="str">
        <f>IFERROR(IF(OR(L305="Fri",L305="Ferie",L305="Syk",L305="Omsorg",B305&lt;Start!$B$7),0,IF(IFERROR(MATCH(B305,Start!A$253:A$273,0),0)&gt;0,VLOOKUP(B305,Start!A$253:F$273,3,FALSE)/100*Start!$B$4,VLOOKUP(WEEKDAY(B305,2),Start!A$240:F$246,4,FALSE))),"")</f>
        <v/>
      </c>
      <c r="D305" t="str">
        <f>IFERROR(IF(OR(U305="Fri",U305="Ferie",U305="Syk",U305="Omsorg",B305&lt;Start!$F$7),0,IF(IFERROR(MATCH(B305,Start!A$253:A$273,0),0)&gt;0,VLOOKUP(B305,Start!A$253:F$273,3,FALSE)/100*Start!$F$4,VLOOKUP(WEEKDAY(B305,2),Start!A$240:F$246,6,FALSE))),"")</f>
        <v/>
      </c>
      <c r="E305">
        <f t="shared" ca="1" si="329"/>
        <v>0</v>
      </c>
      <c r="F305">
        <f>IFERROR(IF(YEAR(B305)=Start!$B$1,MONTH(B305),""),"")</f>
        <v>6</v>
      </c>
      <c r="G305" s="64" t="str">
        <f>IFERROR(VLOOKUP(B305,Start!A$111:B$273,2,FALSE),"")</f>
        <v/>
      </c>
      <c r="H305" s="21"/>
      <c r="I305" s="78">
        <v>0.33333333333333331</v>
      </c>
      <c r="J305" s="78">
        <v>0.33333333333333331</v>
      </c>
      <c r="K305" s="1" t="str">
        <f>IF(Start!$B$6="Ja","",IF(((J305-I305)*24)&gt;=5.5,"X",""))</f>
        <v/>
      </c>
      <c r="L305" s="1" t="str">
        <f>IF(_xlfn.IFNA(MATCH($A303,Start!$H$3:$H$11,0),0)&gt;0,"Ferie",IFERROR(IF(VLOOKUP(B305,Start!A$165:B$234,2,FALSE)&gt;0,"Fri",0),IF(AND((J305-I305)=0,Z305=""),"",MAX((IF(K305="X",(J305-I305)*24-0.5,(J305-I305)*24)),Z305))))</f>
        <v/>
      </c>
      <c r="M305" s="58"/>
      <c r="N305" s="21" t="str">
        <f t="shared" si="338"/>
        <v/>
      </c>
      <c r="O305" s="21" t="str">
        <f t="shared" si="339"/>
        <v/>
      </c>
      <c r="P305" s="2"/>
      <c r="Q305" s="21"/>
      <c r="R305" s="78">
        <v>0.33333333333333331</v>
      </c>
      <c r="S305" s="78">
        <v>0.33333333333333331</v>
      </c>
      <c r="T305" s="1" t="str">
        <f>IF(Start!$B$6="Ja","",IF(((S305-R305)*24)&gt;=5.5,"X",""))</f>
        <v/>
      </c>
      <c r="U305" s="1" t="str">
        <f>IF(_xlfn.IFNA(MATCH($A$15,Start!$H$3:$H$11,0),0)&gt;0,"Ferie",(IF(L305="fri","Fri",(IF(L305="syk","Syk",IF(L305="Ferie","Ferie",IF(AND((S305-R305)=0,AB305=""),"",MAX((IF(T305="X",(S305-R305)*24-0.5,(S305-R305)*24)),AB305))))))))</f>
        <v/>
      </c>
      <c r="V305" s="58"/>
      <c r="W305" s="21" t="str">
        <f t="shared" si="340"/>
        <v/>
      </c>
      <c r="X305" s="21" t="str">
        <f t="shared" si="341"/>
        <v/>
      </c>
      <c r="Z305" s="70" t="str">
        <f>IF(SUMIFS(TrackingTime!H:H,TrackingTime!F:F,Timer!B305,TrackingTime!C:C,"Hovedkontoret")&gt;0,SUMIFS(TrackingTime!H:H,TrackingTime!F:F,Timer!B305,TrackingTime!C:C,"Hovedkontoret"),"")</f>
        <v/>
      </c>
      <c r="AA305" s="71" t="str">
        <f t="shared" si="300"/>
        <v/>
      </c>
      <c r="AB305" t="str">
        <f>IF(SUMIFS(TrackingTime!H:H,TrackingTime!F:F,Timer!B305,TrackingTime!C:C,Start!$F$3)&gt;0,SUMIFS(TrackingTime!H:H,TrackingTime!F:F,Timer!B305,TrackingTime!C:C,Start!$F$3),"")</f>
        <v/>
      </c>
      <c r="AC305" s="71" t="str">
        <f t="shared" si="303"/>
        <v/>
      </c>
    </row>
    <row r="306" spans="1:29" x14ac:dyDescent="0.25">
      <c r="A306" s="15"/>
      <c r="B306" s="63">
        <f t="shared" si="342"/>
        <v>46191</v>
      </c>
      <c r="C306" t="str">
        <f>IFERROR(IF(OR(L306="Fri",L306="Ferie",L306="Syk",L306="Omsorg",B306&lt;Start!$B$7),0,IF(IFERROR(MATCH(B306,Start!A$253:A$273,0),0)&gt;0,VLOOKUP(B306,Start!A$253:F$273,3,FALSE)/100*Start!$B$4,VLOOKUP(WEEKDAY(B306,2),Start!A$240:F$246,4,FALSE))),"")</f>
        <v/>
      </c>
      <c r="D306" t="str">
        <f>IFERROR(IF(OR(U306="Fri",U306="Ferie",U306="Syk",U306="Omsorg",B306&lt;Start!$F$7),0,IF(IFERROR(MATCH(B306,Start!A$253:A$273,0),0)&gt;0,VLOOKUP(B306,Start!A$253:F$273,3,FALSE)/100*Start!$F$4,VLOOKUP(WEEKDAY(B306,2),Start!A$240:F$246,6,FALSE))),"")</f>
        <v/>
      </c>
      <c r="E306">
        <f t="shared" ca="1" si="329"/>
        <v>0</v>
      </c>
      <c r="F306">
        <f>IFERROR(IF(YEAR(B306)=Start!$B$1,MONTH(B306),""),"")</f>
        <v>6</v>
      </c>
      <c r="G306" s="64" t="str">
        <f>IFERROR(VLOOKUP(B306,Start!A$111:B$273,2,FALSE),"")</f>
        <v/>
      </c>
      <c r="H306" s="21"/>
      <c r="I306" s="78">
        <v>0.33333333333333331</v>
      </c>
      <c r="J306" s="78">
        <v>0.33333333333333331</v>
      </c>
      <c r="K306" s="1" t="str">
        <f>IF(Start!$B$6="Ja","",IF(((J306-I306)*24)&gt;=5.5,"X",""))</f>
        <v/>
      </c>
      <c r="L306" s="1" t="str">
        <f>IF(_xlfn.IFNA(MATCH($A303,Start!$H$3:$H$11,0),0)&gt;0,"Ferie",IFERROR(IF(VLOOKUP(B306,Start!A$165:B$234,2,FALSE)&gt;0,"Fri",0),IF(AND((J306-I306)=0,Z306=""),"",MAX((IF(K306="X",(J306-I306)*24-0.5,(J306-I306)*24)),Z306))))</f>
        <v/>
      </c>
      <c r="M306" s="58"/>
      <c r="N306" s="21" t="str">
        <f t="shared" si="338"/>
        <v/>
      </c>
      <c r="O306" s="21" t="str">
        <f t="shared" si="339"/>
        <v/>
      </c>
      <c r="P306" s="2"/>
      <c r="Q306" s="21"/>
      <c r="R306" s="78">
        <v>0.33333333333333331</v>
      </c>
      <c r="S306" s="78">
        <v>0.33333333333333331</v>
      </c>
      <c r="T306" s="1" t="str">
        <f>IF(Start!$B$6="Ja","",IF(((S306-R306)*24)&gt;=5.5,"X",""))</f>
        <v/>
      </c>
      <c r="U306" s="1" t="str">
        <f>IF(_xlfn.IFNA(MATCH($A$15,Start!$H$3:$H$11,0),0)&gt;0,"Ferie",(IF(L306="fri","Fri",(IF(L306="syk","Syk",IF(L306="Ferie","Ferie",IF(AND((S306-R306)=0,AB306=""),"",MAX((IF(T306="X",(S306-R306)*24-0.5,(S306-R306)*24)),AB306))))))))</f>
        <v/>
      </c>
      <c r="V306" s="58"/>
      <c r="W306" s="21" t="str">
        <f t="shared" si="340"/>
        <v/>
      </c>
      <c r="X306" s="21" t="str">
        <f t="shared" si="341"/>
        <v/>
      </c>
      <c r="Z306" s="70" t="str">
        <f>IF(SUMIFS(TrackingTime!H:H,TrackingTime!F:F,Timer!B306,TrackingTime!C:C,"Hovedkontoret")&gt;0,SUMIFS(TrackingTime!H:H,TrackingTime!F:F,Timer!B306,TrackingTime!C:C,"Hovedkontoret"),"")</f>
        <v/>
      </c>
      <c r="AA306" s="71" t="str">
        <f t="shared" si="300"/>
        <v/>
      </c>
      <c r="AB306" t="str">
        <f>IF(SUMIFS(TrackingTime!H:H,TrackingTime!F:F,Timer!B306,TrackingTime!C:C,Start!$F$3)&gt;0,SUMIFS(TrackingTime!H:H,TrackingTime!F:F,Timer!B306,TrackingTime!C:C,Start!$F$3),"")</f>
        <v/>
      </c>
      <c r="AC306" s="71" t="str">
        <f t="shared" si="303"/>
        <v/>
      </c>
    </row>
    <row r="307" spans="1:29" x14ac:dyDescent="0.25">
      <c r="A307" s="15"/>
      <c r="B307" s="63">
        <f t="shared" si="342"/>
        <v>46192</v>
      </c>
      <c r="C307" t="str">
        <f>IFERROR(IF(OR(L307="Fri",L307="Ferie",L307="Syk",L307="Omsorg",B307&lt;Start!$B$7),0,IF(IFERROR(MATCH(B307,Start!A$253:A$273,0),0)&gt;0,VLOOKUP(B307,Start!A$253:F$273,3,FALSE)/100*Start!$B$4,VLOOKUP(WEEKDAY(B307,2),Start!A$240:F$246,4,FALSE))),"")</f>
        <v/>
      </c>
      <c r="D307" t="str">
        <f>IFERROR(IF(OR(U307="Fri",U307="Ferie",U307="Syk",U307="Omsorg",B307&lt;Start!$F$7),0,IF(IFERROR(MATCH(B307,Start!A$253:A$273,0),0)&gt;0,VLOOKUP(B307,Start!A$253:F$273,3,FALSE)/100*Start!$F$4,VLOOKUP(WEEKDAY(B307,2),Start!A$240:F$246,6,FALSE))),"")</f>
        <v/>
      </c>
      <c r="E307">
        <f t="shared" ca="1" si="329"/>
        <v>0</v>
      </c>
      <c r="F307">
        <f>IFERROR(IF(YEAR(B307)=Start!$B$1,MONTH(B307),""),"")</f>
        <v>6</v>
      </c>
      <c r="G307" s="64" t="str">
        <f>IFERROR(VLOOKUP(B307,Start!A$111:B$273,2,FALSE),"")</f>
        <v/>
      </c>
      <c r="H307" s="21"/>
      <c r="I307" s="78">
        <v>0.33333333333333331</v>
      </c>
      <c r="J307" s="78">
        <v>0.33333333333333331</v>
      </c>
      <c r="K307" s="1" t="str">
        <f>IF(Start!$B$6="Ja","",IF(((J307-I307)*24)&gt;=5.5,"X",""))</f>
        <v/>
      </c>
      <c r="L307" s="1" t="str">
        <f>IF(_xlfn.IFNA(MATCH($A303,Start!$H$3:$H$11,0),0)&gt;0,"Ferie",IFERROR(IF(VLOOKUP(B307,Start!A$165:B$234,2,FALSE)&gt;0,"Fri",0),IF(AND((J307-I307)=0,Z307=""),"",MAX((IF(K307="X",(J307-I307)*24-0.5,(J307-I307)*24)),Z307))))</f>
        <v/>
      </c>
      <c r="M307" s="58"/>
      <c r="N307" s="21" t="str">
        <f t="shared" si="338"/>
        <v/>
      </c>
      <c r="O307" s="21" t="str">
        <f t="shared" si="339"/>
        <v/>
      </c>
      <c r="P307" s="2"/>
      <c r="Q307" s="21"/>
      <c r="R307" s="78">
        <v>0.33333333333333331</v>
      </c>
      <c r="S307" s="78">
        <v>0.33333333333333331</v>
      </c>
      <c r="T307" s="1" t="str">
        <f>IF(Start!$B$6="Ja","",IF(((S307-R307)*24)&gt;=5.5,"X",""))</f>
        <v/>
      </c>
      <c r="U307" s="1" t="str">
        <f>IF(_xlfn.IFNA(MATCH($A$15,Start!$H$3:$H$11,0),0)&gt;0,"Ferie",(IF(L307="fri","Fri",(IF(L307="syk","Syk",IF(L307="Ferie","Ferie",IF(AND((S307-R307)=0,AB307=""),"",MAX((IF(T307="X",(S307-R307)*24-0.5,(S307-R307)*24)),AB307))))))))</f>
        <v/>
      </c>
      <c r="V307" s="58"/>
      <c r="W307" s="21" t="str">
        <f t="shared" si="340"/>
        <v/>
      </c>
      <c r="X307" s="21" t="str">
        <f t="shared" si="341"/>
        <v/>
      </c>
      <c r="Z307" s="70" t="str">
        <f>IF(SUMIFS(TrackingTime!H:H,TrackingTime!F:F,Timer!B307,TrackingTime!C:C,"Hovedkontoret")&gt;0,SUMIFS(TrackingTime!H:H,TrackingTime!F:F,Timer!B307,TrackingTime!C:C,"Hovedkontoret"),"")</f>
        <v/>
      </c>
      <c r="AA307" s="71" t="str">
        <f t="shared" si="300"/>
        <v/>
      </c>
      <c r="AB307" t="str">
        <f>IF(SUMIFS(TrackingTime!H:H,TrackingTime!F:F,Timer!B307,TrackingTime!C:C,Start!$F$3)&gt;0,SUMIFS(TrackingTime!H:H,TrackingTime!F:F,Timer!B307,TrackingTime!C:C,Start!$F$3),"")</f>
        <v/>
      </c>
      <c r="AC307" s="71" t="str">
        <f t="shared" si="303"/>
        <v/>
      </c>
    </row>
    <row r="308" spans="1:29" x14ac:dyDescent="0.25">
      <c r="A308" s="15"/>
      <c r="B308" s="63">
        <f t="shared" si="342"/>
        <v>46193</v>
      </c>
      <c r="C308">
        <f>IFERROR(IF(OR(L308="Fri",L308="Ferie",L308="Syk",L308="Omsorg",B308&lt;Start!$B$7),0,IF(IFERROR(MATCH(B308,Start!A$253:A$273,0),0)&gt;0,VLOOKUP(B308,Start!A$253:F$273,3,FALSE)/100*Start!$B$4,VLOOKUP(WEEKDAY(B308,2),Start!A$240:F$246,4,FALSE))),"")</f>
        <v>0</v>
      </c>
      <c r="D308">
        <f>IFERROR(IF(OR(U308="Fri",U308="Ferie",U308="Syk",U308="Omsorg",B308&lt;Start!$F$7),0,IF(IFERROR(MATCH(B308,Start!A$253:A$273,0),0)&gt;0,VLOOKUP(B308,Start!A$253:F$273,3,FALSE)/100*Start!$F$4,VLOOKUP(WEEKDAY(B308,2),Start!A$240:F$246,6,FALSE))),"")</f>
        <v>0</v>
      </c>
      <c r="E308">
        <f t="shared" ca="1" si="329"/>
        <v>0</v>
      </c>
      <c r="F308">
        <f>IFERROR(IF(YEAR(B308)=Start!$B$1,MONTH(B308),""),"")</f>
        <v>6</v>
      </c>
      <c r="G308" s="64" t="str">
        <f>IFERROR(VLOOKUP(B308,Start!A$111:B$273,2,FALSE),"")</f>
        <v/>
      </c>
      <c r="H308" s="21"/>
      <c r="I308" s="78">
        <v>0.41666666666666669</v>
      </c>
      <c r="J308" s="78">
        <v>0.41666666666666669</v>
      </c>
      <c r="K308" s="1" t="str">
        <f>IF(Start!$B$6="Ja","",IF(((J308-I308)*24)&gt;=5.5,"X",""))</f>
        <v/>
      </c>
      <c r="L308" s="1" t="str">
        <f t="shared" ref="L308:L309" si="343">IF(AND((J308-I308)=0,Z308=""),"",MAX((IF(K308="X",(J308-I308)*24-0.5,(J308-I308)*24)),Z308))</f>
        <v/>
      </c>
      <c r="M308" s="58"/>
      <c r="N308" s="21" t="str">
        <f t="shared" si="338"/>
        <v/>
      </c>
      <c r="O308" s="21" t="str">
        <f t="shared" si="339"/>
        <v/>
      </c>
      <c r="P308" s="2"/>
      <c r="Q308" s="21"/>
      <c r="R308" s="78">
        <v>0.41666666666666669</v>
      </c>
      <c r="S308" s="78">
        <v>0.41666666666666669</v>
      </c>
      <c r="T308" s="1" t="str">
        <f>IF(Start!$B$6="Ja","",IF(((S308-R308)*24)&gt;=5.5,"X",""))</f>
        <v/>
      </c>
      <c r="U308" s="1" t="str">
        <f t="shared" ref="U308:U309" si="344">IF(AND((S308-R308)=0,AB308=""),"",MAX((IF(T308="X",(S308-R308)*24-0.5,(S308-R308)*24)),AB308))</f>
        <v/>
      </c>
      <c r="V308" s="58"/>
      <c r="W308" s="21" t="str">
        <f t="shared" si="340"/>
        <v/>
      </c>
      <c r="X308" s="21" t="str">
        <f t="shared" si="341"/>
        <v/>
      </c>
      <c r="Z308" s="70" t="str">
        <f>IF(SUMIFS(TrackingTime!H:H,TrackingTime!F:F,Timer!B308,TrackingTime!C:C,"Hovedkontoret")&gt;0,SUMIFS(TrackingTime!H:H,TrackingTime!F:F,Timer!B308,TrackingTime!C:C,"Hovedkontoret"),"")</f>
        <v/>
      </c>
      <c r="AA308" s="71" t="str">
        <f t="shared" si="300"/>
        <v/>
      </c>
      <c r="AB308" t="str">
        <f>IF(SUMIFS(TrackingTime!H:H,TrackingTime!F:F,Timer!B308,TrackingTime!C:C,Start!$F$3)&gt;0,SUMIFS(TrackingTime!H:H,TrackingTime!F:F,Timer!B308,TrackingTime!C:C,Start!$F$3),"")</f>
        <v/>
      </c>
      <c r="AC308" s="71" t="str">
        <f t="shared" si="303"/>
        <v/>
      </c>
    </row>
    <row r="309" spans="1:29" x14ac:dyDescent="0.25">
      <c r="A309" s="15"/>
      <c r="B309" s="63">
        <f t="shared" si="342"/>
        <v>46194</v>
      </c>
      <c r="C309">
        <f>IFERROR(IF(OR(L309="Fri",L309="Ferie",L309="Syk",L309="Omsorg",B309&lt;Start!$B$7),0,IF(IFERROR(MATCH(B309,Start!A$253:A$273,0),0)&gt;0,VLOOKUP(B309,Start!A$253:F$273,3,FALSE)/100*Start!$B$4,VLOOKUP(WEEKDAY(B309,2),Start!A$240:F$246,4,FALSE))),"")</f>
        <v>0</v>
      </c>
      <c r="D309">
        <f>IFERROR(IF(OR(U309="Fri",U309="Ferie",U309="Syk",U309="Omsorg",B309&lt;Start!$F$7),0,IF(IFERROR(MATCH(B309,Start!A$253:A$273,0),0)&gt;0,VLOOKUP(B309,Start!A$253:F$273,3,FALSE)/100*Start!$F$4,VLOOKUP(WEEKDAY(B309,2),Start!A$240:F$246,6,FALSE))),"")</f>
        <v>0</v>
      </c>
      <c r="E309">
        <f t="shared" ca="1" si="329"/>
        <v>0</v>
      </c>
      <c r="F309">
        <f>IFERROR(IF(YEAR(B309)=Start!$B$1,MONTH(B309),""),"")</f>
        <v>6</v>
      </c>
      <c r="G309" s="64" t="str">
        <f>IFERROR(VLOOKUP(B309,Start!A$111:B$273,2,FALSE),"")</f>
        <v/>
      </c>
      <c r="H309" s="25"/>
      <c r="I309" s="78">
        <v>0.41666666666666669</v>
      </c>
      <c r="J309" s="78">
        <v>0.41666666666666669</v>
      </c>
      <c r="K309" s="1" t="str">
        <f>IF(Start!$B$6="Ja","",IF(((J309-I309)*24)&gt;=5.5,"X",""))</f>
        <v/>
      </c>
      <c r="L309" s="1" t="str">
        <f t="shared" si="343"/>
        <v/>
      </c>
      <c r="M309" s="58"/>
      <c r="N309" s="21" t="str">
        <f t="shared" si="338"/>
        <v/>
      </c>
      <c r="O309" s="21" t="str">
        <f t="shared" si="339"/>
        <v/>
      </c>
      <c r="Q309" s="25"/>
      <c r="R309" s="78">
        <v>0.41666666666666669</v>
      </c>
      <c r="S309" s="78">
        <v>0.41666666666666669</v>
      </c>
      <c r="T309" s="1" t="str">
        <f>IF(Start!$B$6="Ja","",IF(((S309-R309)*24)&gt;=5.5,"X",""))</f>
        <v/>
      </c>
      <c r="U309" s="1" t="str">
        <f t="shared" si="344"/>
        <v/>
      </c>
      <c r="V309" s="58"/>
      <c r="W309" s="21" t="str">
        <f t="shared" si="340"/>
        <v/>
      </c>
      <c r="X309" s="21" t="str">
        <f t="shared" si="341"/>
        <v/>
      </c>
      <c r="Z309" s="70" t="str">
        <f>IF(SUMIFS(TrackingTime!H:H,TrackingTime!F:F,Timer!B309,TrackingTime!C:C,"Hovedkontoret")&gt;0,SUMIFS(TrackingTime!H:H,TrackingTime!F:F,Timer!B309,TrackingTime!C:C,"Hovedkontoret"),"")</f>
        <v/>
      </c>
      <c r="AA309" s="71" t="str">
        <f t="shared" si="300"/>
        <v/>
      </c>
      <c r="AB309" t="str">
        <f>IF(SUMIFS(TrackingTime!H:H,TrackingTime!F:F,Timer!B309,TrackingTime!C:C,Start!$F$3)&gt;0,SUMIFS(TrackingTime!H:H,TrackingTime!F:F,Timer!B309,TrackingTime!C:C,Start!$F$3),"")</f>
        <v/>
      </c>
      <c r="AC309" s="71" t="str">
        <f t="shared" si="303"/>
        <v/>
      </c>
    </row>
    <row r="310" spans="1:29" x14ac:dyDescent="0.25">
      <c r="A310" s="15"/>
      <c r="B310" s="4" t="s">
        <v>11</v>
      </c>
      <c r="C310" s="24"/>
      <c r="D310" s="24"/>
      <c r="E310" s="24">
        <f t="shared" ca="1" si="329"/>
        <v>0</v>
      </c>
      <c r="F310" s="24" t="str">
        <f>IFERROR(IF(YEAR(B310)=Start!$B$1,MONTH(B310),""),"")</f>
        <v/>
      </c>
      <c r="G310" s="64" t="str">
        <f>IFERROR(VLOOKUP(B310,Start!A$111:B$273,2,FALSE),"")</f>
        <v/>
      </c>
      <c r="H310" s="4"/>
      <c r="I310" s="4"/>
      <c r="J310" s="4"/>
      <c r="K310" s="4"/>
      <c r="L310" s="5">
        <f t="shared" ref="L310:L370" si="345">SUM($L303:$L309)</f>
        <v>0</v>
      </c>
      <c r="N310" s="24"/>
      <c r="O310" s="39">
        <f t="shared" ref="O310" si="346">SUM(O303:O309)</f>
        <v>0</v>
      </c>
      <c r="P310" s="40"/>
      <c r="Q310" s="41"/>
      <c r="R310" s="4"/>
      <c r="S310" s="4"/>
      <c r="T310" s="4"/>
      <c r="U310" s="5">
        <f t="shared" ref="U310" si="347">SUM($U303:$U309)</f>
        <v>0</v>
      </c>
      <c r="V310" s="58"/>
      <c r="W310" s="39"/>
      <c r="X310" s="39">
        <f t="shared" si="319"/>
        <v>0</v>
      </c>
      <c r="Z310" s="70" t="str">
        <f>IF(SUMIFS(TrackingTime!H:H,TrackingTime!F:F,Timer!B310,TrackingTime!C:C,"Hovedkontoret")&gt;0,SUMIFS(TrackingTime!H:H,TrackingTime!F:F,Timer!B310,TrackingTime!C:C,"Hovedkontoret"),"")</f>
        <v/>
      </c>
      <c r="AA310" s="71" t="str">
        <f t="shared" si="300"/>
        <v/>
      </c>
      <c r="AB310" t="str">
        <f>IF(SUMIFS(TrackingTime!H:H,TrackingTime!F:F,Timer!B310,TrackingTime!C:C,Start!$F$3)&gt;0,SUMIFS(TrackingTime!H:H,TrackingTime!F:F,Timer!B310,TrackingTime!C:C,Start!$F$3),"")</f>
        <v/>
      </c>
      <c r="AC310" s="71" t="str">
        <f t="shared" si="303"/>
        <v/>
      </c>
    </row>
    <row r="311" spans="1:29" x14ac:dyDescent="0.25">
      <c r="A311" s="15"/>
      <c r="B311" t="s">
        <v>90</v>
      </c>
      <c r="E311">
        <f t="shared" ca="1" si="329"/>
        <v>0</v>
      </c>
      <c r="F311" t="str">
        <f>IFERROR(IF(YEAR(B311)=Start!$B$1,MONTH(B311),""),"")</f>
        <v/>
      </c>
      <c r="G311" s="64" t="str">
        <f>IFERROR(VLOOKUP(B311,Start!A$111:B$273,2,FALSE),"")</f>
        <v/>
      </c>
      <c r="L311" s="1">
        <f t="shared" ref="L311:L371" si="348">SUMIFS(C303:C309,F303:F309,"&gt;0")</f>
        <v>0</v>
      </c>
      <c r="M311" s="1"/>
      <c r="N311" s="1"/>
      <c r="O311" s="21">
        <f t="shared" ref="O311" si="349">L311</f>
        <v>0</v>
      </c>
      <c r="P311" s="40"/>
      <c r="Q311" s="21"/>
      <c r="U311" s="1">
        <f t="shared" ref="U311" si="350">SUMIFS(D303:D309,F303:F309,"&gt;0")</f>
        <v>0</v>
      </c>
      <c r="V311" s="1"/>
      <c r="W311" s="1"/>
      <c r="X311" s="21">
        <f>U311</f>
        <v>0</v>
      </c>
      <c r="Z311" s="70" t="str">
        <f>IF(SUMIFS(TrackingTime!H:H,TrackingTime!F:F,Timer!B311,TrackingTime!C:C,"Hovedkontoret")&gt;0,SUMIFS(TrackingTime!H:H,TrackingTime!F:F,Timer!B311,TrackingTime!C:C,"Hovedkontoret"),"")</f>
        <v/>
      </c>
      <c r="AA311" s="71" t="str">
        <f t="shared" si="300"/>
        <v/>
      </c>
      <c r="AB311" t="str">
        <f>IF(SUMIFS(TrackingTime!H:H,TrackingTime!F:F,Timer!B311,TrackingTime!C:C,Start!$F$3)&gt;0,SUMIFS(TrackingTime!H:H,TrackingTime!F:F,Timer!B311,TrackingTime!C:C,Start!$F$3),"")</f>
        <v/>
      </c>
      <c r="AC311" s="71" t="str">
        <f t="shared" si="303"/>
        <v/>
      </c>
    </row>
    <row r="312" spans="1:29" x14ac:dyDescent="0.25">
      <c r="A312" s="16">
        <f>B309-B303-1</f>
        <v>5</v>
      </c>
      <c r="B312" t="s">
        <v>117</v>
      </c>
      <c r="E312">
        <f t="shared" ca="1" si="329"/>
        <v>0</v>
      </c>
      <c r="F312" t="str">
        <f>IFERROR(IF(YEAR(B312)=Start!$B$1,MONTH(B312),""),"")</f>
        <v/>
      </c>
      <c r="G312" s="64" t="str">
        <f>IFERROR(VLOOKUP(B312,Start!A$111:B$273,2,FALSE),"")</f>
        <v/>
      </c>
      <c r="L312" s="77">
        <f t="shared" ref="L312:L372" ca="1" si="351">L310-L311*(IF(NETWORKDAYS($B303,TODAY())&lt;0,0,IF(NETWORKDAYS($B303,TODAY())&lt;=$A312,NETWORKDAYS($B303,TODAY()),$A312)))/$A312</f>
        <v>0</v>
      </c>
      <c r="O312" s="21">
        <f t="shared" ref="O312" si="352">O310-O311</f>
        <v>0</v>
      </c>
      <c r="P312" s="21"/>
      <c r="Q312" s="21"/>
      <c r="U312" s="1">
        <f t="shared" ref="U312" ca="1" si="353">U310-U311*(IF(NETWORKDAYS($B303,TODAY())&lt;0,0,IF(NETWORKDAYS($B303,TODAY())&lt;=$A312,NETWORKDAYS($B303,TODAY()),$A312)))/$A312</f>
        <v>0</v>
      </c>
      <c r="V312" s="58"/>
      <c r="W312" s="21"/>
      <c r="X312" s="21">
        <f>X310-X311</f>
        <v>0</v>
      </c>
      <c r="Z312" s="70" t="str">
        <f>IF(SUMIFS(TrackingTime!H:H,TrackingTime!F:F,Timer!B312,TrackingTime!C:C,"Hovedkontoret")&gt;0,SUMIFS(TrackingTime!H:H,TrackingTime!F:F,Timer!B312,TrackingTime!C:C,"Hovedkontoret"),"")</f>
        <v/>
      </c>
      <c r="AA312" s="71" t="str">
        <f t="shared" si="300"/>
        <v/>
      </c>
      <c r="AB312" t="str">
        <f>IF(SUMIFS(TrackingTime!H:H,TrackingTime!F:F,Timer!B312,TrackingTime!C:C,Start!$F$3)&gt;0,SUMIFS(TrackingTime!H:H,TrackingTime!F:F,Timer!B312,TrackingTime!C:C,Start!$F$3),"")</f>
        <v/>
      </c>
      <c r="AC312" s="71" t="str">
        <f t="shared" si="303"/>
        <v/>
      </c>
    </row>
    <row r="313" spans="1:29" x14ac:dyDescent="0.25">
      <c r="A313" s="15"/>
      <c r="E313">
        <f t="shared" ca="1" si="329"/>
        <v>1</v>
      </c>
      <c r="F313" t="str">
        <f>IFERROR(IF(YEAR(B313)=Start!$B$1,MONTH(B313),""),"")</f>
        <v/>
      </c>
      <c r="G313" s="64" t="str">
        <f>IFERROR(VLOOKUP(B313,Start!A$111:B$273,2,FALSE),"")</f>
        <v/>
      </c>
      <c r="O313" s="2"/>
      <c r="P313" s="2"/>
      <c r="U313" s="1"/>
      <c r="V313" s="7"/>
      <c r="X313" s="2"/>
      <c r="Z313" s="70" t="str">
        <f>IF(SUMIFS(TrackingTime!H:H,TrackingTime!F:F,Timer!B313,TrackingTime!C:C,"Hovedkontoret")&gt;0,SUMIFS(TrackingTime!H:H,TrackingTime!F:F,Timer!B313,TrackingTime!C:C,"Hovedkontoret"),"")</f>
        <v/>
      </c>
      <c r="AA313" s="71" t="str">
        <f t="shared" si="300"/>
        <v/>
      </c>
      <c r="AB313" t="str">
        <f>IF(SUMIFS(TrackingTime!H:H,TrackingTime!F:F,Timer!B313,TrackingTime!C:C,Start!$F$3)&gt;0,SUMIFS(TrackingTime!H:H,TrackingTime!F:F,Timer!B313,TrackingTime!C:C,Start!$F$3),"")</f>
        <v/>
      </c>
      <c r="AC313" s="71" t="str">
        <f t="shared" si="303"/>
        <v/>
      </c>
    </row>
    <row r="314" spans="1:29" x14ac:dyDescent="0.25">
      <c r="A314" s="2" t="s">
        <v>82</v>
      </c>
      <c r="B314" s="14" t="s">
        <v>83</v>
      </c>
      <c r="E314">
        <f t="shared" ca="1" si="329"/>
        <v>0</v>
      </c>
      <c r="F314" t="str">
        <f>IFERROR(IF(YEAR(B314)=Start!$B$1,MONTH(B314),""),"")</f>
        <v/>
      </c>
      <c r="G314" s="64" t="str">
        <f>IFERROR(VLOOKUP(B314,Start!A$111:B$273,2,FALSE),"")</f>
        <v/>
      </c>
      <c r="H314" s="2" t="s">
        <v>86</v>
      </c>
      <c r="I314" s="2" t="s">
        <v>125</v>
      </c>
      <c r="J314" s="2" t="s">
        <v>126</v>
      </c>
      <c r="K314" s="2" t="s">
        <v>127</v>
      </c>
      <c r="L314" s="3" t="s">
        <v>87</v>
      </c>
      <c r="M314" s="6"/>
      <c r="N314" s="2" t="s">
        <v>88</v>
      </c>
      <c r="O314" s="2" t="s">
        <v>89</v>
      </c>
      <c r="P314" s="2"/>
      <c r="Q314" s="2" t="s">
        <v>86</v>
      </c>
      <c r="R314" s="2" t="s">
        <v>125</v>
      </c>
      <c r="S314" s="2" t="s">
        <v>126</v>
      </c>
      <c r="T314" s="2" t="s">
        <v>127</v>
      </c>
      <c r="U314" s="3" t="s">
        <v>87</v>
      </c>
      <c r="V314" s="6"/>
      <c r="W314" s="2" t="s">
        <v>88</v>
      </c>
      <c r="X314" s="2" t="s">
        <v>89</v>
      </c>
      <c r="Z314" s="70" t="str">
        <f>IF(SUMIFS(TrackingTime!H:H,TrackingTime!F:F,Timer!B314,TrackingTime!C:C,"Hovedkontoret")&gt;0,SUMIFS(TrackingTime!H:H,TrackingTime!F:F,Timer!B314,TrackingTime!C:C,"Hovedkontoret"),"")</f>
        <v/>
      </c>
      <c r="AA314" s="71" t="str">
        <f t="shared" si="300"/>
        <v/>
      </c>
      <c r="AB314" t="str">
        <f>IF(SUMIFS(TrackingTime!H:H,TrackingTime!F:F,Timer!B314,TrackingTime!C:C,Start!$F$3)&gt;0,SUMIFS(TrackingTime!H:H,TrackingTime!F:F,Timer!B314,TrackingTime!C:C,Start!$F$3),"")</f>
        <v/>
      </c>
      <c r="AC314" s="71" t="str">
        <f t="shared" si="303"/>
        <v/>
      </c>
    </row>
    <row r="315" spans="1:29" x14ac:dyDescent="0.25">
      <c r="A315" s="15">
        <f>WEEKNUM(B315,21)</f>
        <v>26</v>
      </c>
      <c r="B315" s="63">
        <f>B309+(DAY(1))</f>
        <v>46195</v>
      </c>
      <c r="C315" t="str">
        <f>IFERROR(IF(OR(L315="Fri",L315="Ferie",L315="Syk",L315="Omsorg",B315&lt;Start!$B$7),0,IF(IFERROR(MATCH(B315,Start!A$253:A$273,0),0)&gt;0,VLOOKUP(B315,Start!A$253:F$273,3,FALSE)/100*Start!$B$4,VLOOKUP(WEEKDAY(B315,2),Start!A$240:F$246,4,FALSE))),"")</f>
        <v/>
      </c>
      <c r="D315" t="str">
        <f>IFERROR(IF(OR(U315="Fri",U315="Ferie",U315="Syk",U315="Omsorg",B315&lt;Start!$F$7),0,IF(IFERROR(MATCH(B315,Start!A$253:A$273,0),0)&gt;0,VLOOKUP(B315,Start!A$253:F$273,3,FALSE)/100*Start!$F$4,VLOOKUP(WEEKDAY(B315,2),Start!A$240:F$246,6,FALSE))),"")</f>
        <v/>
      </c>
      <c r="E315">
        <f t="shared" ca="1" si="329"/>
        <v>0</v>
      </c>
      <c r="F315">
        <f>IFERROR(IF(YEAR(B315)=Start!$B$1,MONTH(B315),""),"")</f>
        <v>6</v>
      </c>
      <c r="G315" s="64" t="str">
        <f>IFERROR(VLOOKUP(B315,Start!A$111:B$273,2,FALSE),"")</f>
        <v/>
      </c>
      <c r="H315" s="21"/>
      <c r="I315" s="78">
        <v>0.33333333333333331</v>
      </c>
      <c r="J315" s="78">
        <v>0.33333333333333331</v>
      </c>
      <c r="K315" s="1" t="str">
        <f>IF(Start!$B$6="Ja","",IF(((J315-I315)*24)&gt;=5.5,"X",""))</f>
        <v/>
      </c>
      <c r="L315" s="1" t="str">
        <f>IF(_xlfn.IFNA(MATCH($A315,Start!$H$3:$H$11,0),0)&gt;0,"Ferie",IFERROR(IF(VLOOKUP(B315,Start!A$165:B$234,2,FALSE)&gt;0,"Fri",0),IF(AND((J315-I315)=0,Z315=""),"",MAX((IF(K315="X",(J315-I315)*24-0.5,(J315-I315)*24)),Z315))))</f>
        <v/>
      </c>
      <c r="M315" s="58"/>
      <c r="N315" s="21" t="str">
        <f t="shared" ref="N315:N321" si="354">IF(H315=0,"",H315)</f>
        <v/>
      </c>
      <c r="O315" s="21" t="str">
        <f t="shared" ref="O315:O321" si="355">IF(L315=0,"",L315)</f>
        <v/>
      </c>
      <c r="P315" s="2"/>
      <c r="Q315" s="21"/>
      <c r="R315" s="78">
        <v>0.33333333333333331</v>
      </c>
      <c r="S315" s="78">
        <v>0.33333333333333331</v>
      </c>
      <c r="T315" s="1" t="str">
        <f>IF(Start!$B$6="Ja","",IF(((S315-R315)*24)&gt;=5.5,"X",""))</f>
        <v/>
      </c>
      <c r="U315" s="1" t="str">
        <f>IF(_xlfn.IFNA(MATCH($A$15,Start!$H$3:$H$11,0),0)&gt;0,"Ferie",(IF(L315="fri","Fri",(IF(L315="syk","Syk",IF(L315="Ferie","Ferie",IF(AND((S315-R315)=0,AB315=""),"",MAX((IF(T315="X",(S315-R315)*24-0.5,(S315-R315)*24)),AB315))))))))</f>
        <v/>
      </c>
      <c r="V315" s="58"/>
      <c r="W315" s="21" t="str">
        <f t="shared" ref="W315:W321" si="356">IF(Q315=0,"",Q315)</f>
        <v/>
      </c>
      <c r="X315" s="21" t="str">
        <f t="shared" ref="X315:X321" si="357">IF(U315=0,"",U315)</f>
        <v/>
      </c>
      <c r="Z315" s="70" t="str">
        <f>IF(SUMIFS(TrackingTime!H:H,TrackingTime!F:F,Timer!B315,TrackingTime!C:C,"Hovedkontoret")&gt;0,SUMIFS(TrackingTime!H:H,TrackingTime!F:F,Timer!B315,TrackingTime!C:C,"Hovedkontoret"),"")</f>
        <v/>
      </c>
      <c r="AA315" s="71" t="str">
        <f t="shared" si="300"/>
        <v/>
      </c>
      <c r="AB315" t="str">
        <f>IF(SUMIFS(TrackingTime!H:H,TrackingTime!F:F,Timer!B315,TrackingTime!C:C,Start!$F$3)&gt;0,SUMIFS(TrackingTime!H:H,TrackingTime!F:F,Timer!B315,TrackingTime!C:C,Start!$F$3),"")</f>
        <v/>
      </c>
      <c r="AC315" s="71" t="str">
        <f t="shared" si="303"/>
        <v/>
      </c>
    </row>
    <row r="316" spans="1:29" x14ac:dyDescent="0.25">
      <c r="A316" s="15"/>
      <c r="B316" s="63">
        <f t="shared" ref="B316:B321" si="358">B315+DAY(1)</f>
        <v>46196</v>
      </c>
      <c r="C316" t="str">
        <f>IFERROR(IF(OR(L316="Fri",L316="Ferie",L316="Syk",L316="Omsorg",B316&lt;Start!$B$7),0,IF(IFERROR(MATCH(B316,Start!A$253:A$273,0),0)&gt;0,VLOOKUP(B316,Start!A$253:F$273,3,FALSE)/100*Start!$B$4,VLOOKUP(WEEKDAY(B316,2),Start!A$240:F$246,4,FALSE))),"")</f>
        <v/>
      </c>
      <c r="D316" t="str">
        <f>IFERROR(IF(OR(U316="Fri",U316="Ferie",U316="Syk",U316="Omsorg",B316&lt;Start!$F$7),0,IF(IFERROR(MATCH(B316,Start!A$253:A$273,0),0)&gt;0,VLOOKUP(B316,Start!A$253:F$273,3,FALSE)/100*Start!$F$4,VLOOKUP(WEEKDAY(B316,2),Start!A$240:F$246,6,FALSE))),"")</f>
        <v/>
      </c>
      <c r="E316">
        <f t="shared" ca="1" si="329"/>
        <v>0</v>
      </c>
      <c r="F316">
        <f>IFERROR(IF(YEAR(B316)=Start!$B$1,MONTH(B316),""),"")</f>
        <v>6</v>
      </c>
      <c r="G316" s="64" t="str">
        <f>IFERROR(VLOOKUP(B316,Start!A$111:B$273,2,FALSE),"")</f>
        <v/>
      </c>
      <c r="H316" s="21"/>
      <c r="I316" s="78">
        <v>0.33333333333333331</v>
      </c>
      <c r="J316" s="78">
        <v>0.33333333333333331</v>
      </c>
      <c r="K316" s="1" t="str">
        <f>IF(Start!$B$6="Ja","",IF(((J316-I316)*24)&gt;=5.5,"X",""))</f>
        <v/>
      </c>
      <c r="L316" s="1" t="str">
        <f>IF(_xlfn.IFNA(MATCH($A315,Start!$H$3:$H$11,0),0)&gt;0,"Ferie",IFERROR(IF(VLOOKUP($B316,Start!$A$165:$B$234,2,FALSE)&gt;0,"Fri",0),IF(AND((J316-I316)=0,Z316=""),"",MAX((IF(K316="X",(J316-I316)*24-0.5,(J316-I316)*24)),Z316))))</f>
        <v/>
      </c>
      <c r="M316" s="58"/>
      <c r="N316" s="21" t="str">
        <f t="shared" si="354"/>
        <v/>
      </c>
      <c r="O316" s="21" t="str">
        <f t="shared" si="355"/>
        <v/>
      </c>
      <c r="P316" s="2"/>
      <c r="Q316" s="21"/>
      <c r="R316" s="78">
        <v>0.33333333333333331</v>
      </c>
      <c r="S316" s="78">
        <v>0.33333333333333331</v>
      </c>
      <c r="T316" s="1" t="str">
        <f>IF(Start!$B$6="Ja","",IF(((S316-R316)*24)&gt;=5.5,"X",""))</f>
        <v/>
      </c>
      <c r="U316" s="1" t="str">
        <f>IF(_xlfn.IFNA(MATCH($A$15,Start!$H$3:$H$11,0),0)&gt;0,"Ferie",(IF(L316="fri","Fri",(IF(L316="syk","Syk",IF(L316="Ferie","Ferie",IF(AND((S316-R316)=0,AB316=""),"",MAX((IF(T316="X",(S316-R316)*24-0.5,(S316-R316)*24)),AB316))))))))</f>
        <v/>
      </c>
      <c r="V316" s="58"/>
      <c r="W316" s="21" t="str">
        <f t="shared" si="356"/>
        <v/>
      </c>
      <c r="X316" s="21" t="str">
        <f t="shared" si="357"/>
        <v/>
      </c>
      <c r="Z316" s="70" t="str">
        <f>IF(SUMIFS(TrackingTime!H:H,TrackingTime!F:F,Timer!B316,TrackingTime!C:C,"Hovedkontoret")&gt;0,SUMIFS(TrackingTime!H:H,TrackingTime!F:F,Timer!B316,TrackingTime!C:C,"Hovedkontoret"),"")</f>
        <v/>
      </c>
      <c r="AA316" s="71" t="str">
        <f t="shared" si="300"/>
        <v/>
      </c>
      <c r="AB316" t="str">
        <f>IF(SUMIFS(TrackingTime!H:H,TrackingTime!F:F,Timer!B316,TrackingTime!C:C,Start!$F$3)&gt;0,SUMIFS(TrackingTime!H:H,TrackingTime!F:F,Timer!B316,TrackingTime!C:C,Start!$F$3),"")</f>
        <v/>
      </c>
      <c r="AC316" s="71" t="str">
        <f t="shared" si="303"/>
        <v/>
      </c>
    </row>
    <row r="317" spans="1:29" x14ac:dyDescent="0.25">
      <c r="A317" s="15"/>
      <c r="B317" s="63">
        <f t="shared" si="358"/>
        <v>46197</v>
      </c>
      <c r="C317" t="str">
        <f>IFERROR(IF(OR(L317="Fri",L317="Ferie",L317="Syk",L317="Omsorg",B317&lt;Start!$B$7),0,IF(IFERROR(MATCH(B317,Start!A$253:A$273,0),0)&gt;0,VLOOKUP(B317,Start!A$253:F$273,3,FALSE)/100*Start!$B$4,VLOOKUP(WEEKDAY(B317,2),Start!A$240:F$246,4,FALSE))),"")</f>
        <v/>
      </c>
      <c r="D317" t="str">
        <f>IFERROR(IF(OR(U317="Fri",U317="Ferie",U317="Syk",U317="Omsorg",B317&lt;Start!$F$7),0,IF(IFERROR(MATCH(B317,Start!A$253:A$273,0),0)&gt;0,VLOOKUP(B317,Start!A$253:F$273,3,FALSE)/100*Start!$F$4,VLOOKUP(WEEKDAY(B317,2),Start!A$240:F$246,6,FALSE))),"")</f>
        <v/>
      </c>
      <c r="E317">
        <f t="shared" ca="1" si="329"/>
        <v>0</v>
      </c>
      <c r="F317">
        <f>IFERROR(IF(YEAR(B317)=Start!$B$1,MONTH(B317),""),"")</f>
        <v>6</v>
      </c>
      <c r="G317" s="64" t="str">
        <f>IFERROR(VLOOKUP(B317,Start!A$111:B$273,2,FALSE),"")</f>
        <v/>
      </c>
      <c r="H317" s="21"/>
      <c r="I317" s="78">
        <v>0.33333333333333331</v>
      </c>
      <c r="J317" s="78">
        <v>0.33333333333333331</v>
      </c>
      <c r="K317" s="1" t="str">
        <f>IF(Start!$B$6="Ja","",IF(((J317-I317)*24)&gt;=5.5,"X",""))</f>
        <v/>
      </c>
      <c r="L317" s="1" t="str">
        <f>IF(_xlfn.IFNA(MATCH($A315,Start!$H$3:$H$11,0),0)&gt;0,"Ferie",IFERROR(IF(VLOOKUP(B317,Start!A$165:B$234,2,FALSE)&gt;0,"Fri",0),IF(AND((J317-I317)=0,Z317=""),"",MAX((IF(K317="X",(J317-I317)*24-0.5,(J317-I317)*24)),Z317))))</f>
        <v/>
      </c>
      <c r="M317" s="58"/>
      <c r="N317" s="21" t="str">
        <f t="shared" si="354"/>
        <v/>
      </c>
      <c r="O317" s="21" t="str">
        <f t="shared" si="355"/>
        <v/>
      </c>
      <c r="P317" s="2"/>
      <c r="Q317" s="21"/>
      <c r="R317" s="78">
        <v>0.33333333333333331</v>
      </c>
      <c r="S317" s="78">
        <v>0.33333333333333331</v>
      </c>
      <c r="T317" s="1" t="str">
        <f>IF(Start!$B$6="Ja","",IF(((S317-R317)*24)&gt;=5.5,"X",""))</f>
        <v/>
      </c>
      <c r="U317" s="1" t="str">
        <f>IF(_xlfn.IFNA(MATCH($A$15,Start!$H$3:$H$11,0),0)&gt;0,"Ferie",(IF(L317="fri","Fri",(IF(L317="syk","Syk",IF(L317="Ferie","Ferie",IF(AND((S317-R317)=0,AB317=""),"",MAX((IF(T317="X",(S317-R317)*24-0.5,(S317-R317)*24)),AB317))))))))</f>
        <v/>
      </c>
      <c r="V317" s="58"/>
      <c r="W317" s="21" t="str">
        <f t="shared" si="356"/>
        <v/>
      </c>
      <c r="X317" s="21" t="str">
        <f t="shared" si="357"/>
        <v/>
      </c>
      <c r="Z317" s="70" t="str">
        <f>IF(SUMIFS(TrackingTime!H:H,TrackingTime!F:F,Timer!B317,TrackingTime!C:C,"Hovedkontoret")&gt;0,SUMIFS(TrackingTime!H:H,TrackingTime!F:F,Timer!B317,TrackingTime!C:C,"Hovedkontoret"),"")</f>
        <v/>
      </c>
      <c r="AA317" s="71" t="str">
        <f t="shared" si="300"/>
        <v/>
      </c>
      <c r="AB317" t="str">
        <f>IF(SUMIFS(TrackingTime!H:H,TrackingTime!F:F,Timer!B317,TrackingTime!C:C,Start!$F$3)&gt;0,SUMIFS(TrackingTime!H:H,TrackingTime!F:F,Timer!B317,TrackingTime!C:C,Start!$F$3),"")</f>
        <v/>
      </c>
      <c r="AC317" s="71" t="str">
        <f t="shared" si="303"/>
        <v/>
      </c>
    </row>
    <row r="318" spans="1:29" x14ac:dyDescent="0.25">
      <c r="A318" s="15"/>
      <c r="B318" s="63">
        <f t="shared" si="358"/>
        <v>46198</v>
      </c>
      <c r="C318" t="str">
        <f>IFERROR(IF(OR(L318="Fri",L318="Ferie",L318="Syk",L318="Omsorg",B318&lt;Start!$B$7),0,IF(IFERROR(MATCH(B318,Start!A$253:A$273,0),0)&gt;0,VLOOKUP(B318,Start!A$253:F$273,3,FALSE)/100*Start!$B$4,VLOOKUP(WEEKDAY(B318,2),Start!A$240:F$246,4,FALSE))),"")</f>
        <v/>
      </c>
      <c r="D318" t="str">
        <f>IFERROR(IF(OR(U318="Fri",U318="Ferie",U318="Syk",U318="Omsorg",B318&lt;Start!$F$7),0,IF(IFERROR(MATCH(B318,Start!A$253:A$273,0),0)&gt;0,VLOOKUP(B318,Start!A$253:F$273,3,FALSE)/100*Start!$F$4,VLOOKUP(WEEKDAY(B318,2),Start!A$240:F$246,6,FALSE))),"")</f>
        <v/>
      </c>
      <c r="E318">
        <f t="shared" ca="1" si="329"/>
        <v>0</v>
      </c>
      <c r="F318">
        <f>IFERROR(IF(YEAR(B318)=Start!$B$1,MONTH(B318),""),"")</f>
        <v>6</v>
      </c>
      <c r="G318" s="64" t="str">
        <f>IFERROR(VLOOKUP(B318,Start!A$111:B$273,2,FALSE),"")</f>
        <v/>
      </c>
      <c r="H318" s="21"/>
      <c r="I318" s="78">
        <v>0.33333333333333331</v>
      </c>
      <c r="J318" s="78">
        <v>0.33333333333333331</v>
      </c>
      <c r="K318" s="1" t="str">
        <f>IF(Start!$B$6="Ja","",IF(((J318-I318)*24)&gt;=5.5,"X",""))</f>
        <v/>
      </c>
      <c r="L318" s="1" t="str">
        <f>IF(_xlfn.IFNA(MATCH($A315,Start!$H$3:$H$11,0),0)&gt;0,"Ferie",IFERROR(IF(VLOOKUP(B318,Start!A$165:B$234,2,FALSE)&gt;0,"Fri",0),IF(AND((J318-I318)=0,Z318=""),"",MAX((IF(K318="X",(J318-I318)*24-0.5,(J318-I318)*24)),Z318))))</f>
        <v/>
      </c>
      <c r="M318" s="58"/>
      <c r="N318" s="21" t="str">
        <f t="shared" si="354"/>
        <v/>
      </c>
      <c r="O318" s="21" t="str">
        <f t="shared" si="355"/>
        <v/>
      </c>
      <c r="P318" s="2"/>
      <c r="Q318" s="21"/>
      <c r="R318" s="78">
        <v>0.33333333333333331</v>
      </c>
      <c r="S318" s="78">
        <v>0.33333333333333331</v>
      </c>
      <c r="T318" s="1" t="str">
        <f>IF(Start!$B$6="Ja","",IF(((S318-R318)*24)&gt;=5.5,"X",""))</f>
        <v/>
      </c>
      <c r="U318" s="1" t="str">
        <f>IF(_xlfn.IFNA(MATCH($A$15,Start!$H$3:$H$11,0),0)&gt;0,"Ferie",(IF(L318="fri","Fri",(IF(L318="syk","Syk",IF(L318="Ferie","Ferie",IF(AND((S318-R318)=0,AB318=""),"",MAX((IF(T318="X",(S318-R318)*24-0.5,(S318-R318)*24)),AB318))))))))</f>
        <v/>
      </c>
      <c r="V318" s="58"/>
      <c r="W318" s="21" t="str">
        <f t="shared" si="356"/>
        <v/>
      </c>
      <c r="X318" s="21" t="str">
        <f t="shared" si="357"/>
        <v/>
      </c>
      <c r="Z318" s="70" t="str">
        <f>IF(SUMIFS(TrackingTime!H:H,TrackingTime!F:F,Timer!B318,TrackingTime!C:C,"Hovedkontoret")&gt;0,SUMIFS(TrackingTime!H:H,TrackingTime!F:F,Timer!B318,TrackingTime!C:C,"Hovedkontoret"),"")</f>
        <v/>
      </c>
      <c r="AA318" s="71" t="str">
        <f t="shared" si="300"/>
        <v/>
      </c>
      <c r="AB318" t="str">
        <f>IF(SUMIFS(TrackingTime!H:H,TrackingTime!F:F,Timer!B318,TrackingTime!C:C,Start!$F$3)&gt;0,SUMIFS(TrackingTime!H:H,TrackingTime!F:F,Timer!B318,TrackingTime!C:C,Start!$F$3),"")</f>
        <v/>
      </c>
      <c r="AC318" s="71" t="str">
        <f t="shared" si="303"/>
        <v/>
      </c>
    </row>
    <row r="319" spans="1:29" x14ac:dyDescent="0.25">
      <c r="A319" s="15"/>
      <c r="B319" s="63">
        <f t="shared" si="358"/>
        <v>46199</v>
      </c>
      <c r="C319" t="str">
        <f>IFERROR(IF(OR(L319="Fri",L319="Ferie",L319="Syk",L319="Omsorg",B319&lt;Start!$B$7),0,IF(IFERROR(MATCH(B319,Start!A$253:A$273,0),0)&gt;0,VLOOKUP(B319,Start!A$253:F$273,3,FALSE)/100*Start!$B$4,VLOOKUP(WEEKDAY(B319,2),Start!A$240:F$246,4,FALSE))),"")</f>
        <v/>
      </c>
      <c r="D319" t="str">
        <f>IFERROR(IF(OR(U319="Fri",U319="Ferie",U319="Syk",U319="Omsorg",B319&lt;Start!$F$7),0,IF(IFERROR(MATCH(B319,Start!A$253:A$273,0),0)&gt;0,VLOOKUP(B319,Start!A$253:F$273,3,FALSE)/100*Start!$F$4,VLOOKUP(WEEKDAY(B319,2),Start!A$240:F$246,6,FALSE))),"")</f>
        <v/>
      </c>
      <c r="E319">
        <f t="shared" ca="1" si="329"/>
        <v>0</v>
      </c>
      <c r="F319">
        <f>IFERROR(IF(YEAR(B319)=Start!$B$1,MONTH(B319),""),"")</f>
        <v>6</v>
      </c>
      <c r="G319" s="64" t="str">
        <f>IFERROR(VLOOKUP(B319,Start!A$111:B$273,2,FALSE),"")</f>
        <v/>
      </c>
      <c r="H319" s="21"/>
      <c r="I319" s="78">
        <v>0.33333333333333331</v>
      </c>
      <c r="J319" s="78">
        <v>0.33333333333333331</v>
      </c>
      <c r="K319" s="1" t="str">
        <f>IF(Start!$B$6="Ja","",IF(((J319-I319)*24)&gt;=5.5,"X",""))</f>
        <v/>
      </c>
      <c r="L319" s="1" t="str">
        <f>IF(_xlfn.IFNA(MATCH($A315,Start!$H$3:$H$11,0),0)&gt;0,"Ferie",IFERROR(IF(VLOOKUP(B319,Start!A$165:B$234,2,FALSE)&gt;0,"Fri",0),IF(AND((J319-I319)=0,Z319=""),"",MAX((IF(K319="X",(J319-I319)*24-0.5,(J319-I319)*24)),Z319))))</f>
        <v/>
      </c>
      <c r="M319" s="58"/>
      <c r="N319" s="21" t="str">
        <f t="shared" si="354"/>
        <v/>
      </c>
      <c r="O319" s="21" t="str">
        <f t="shared" si="355"/>
        <v/>
      </c>
      <c r="P319" s="2"/>
      <c r="Q319" s="21"/>
      <c r="R319" s="78">
        <v>0.33333333333333331</v>
      </c>
      <c r="S319" s="78">
        <v>0.33333333333333331</v>
      </c>
      <c r="T319" s="1" t="str">
        <f>IF(Start!$B$6="Ja","",IF(((S319-R319)*24)&gt;=5.5,"X",""))</f>
        <v/>
      </c>
      <c r="U319" s="1" t="str">
        <f>IF(_xlfn.IFNA(MATCH($A$15,Start!$H$3:$H$11,0),0)&gt;0,"Ferie",(IF(L319="fri","Fri",(IF(L319="syk","Syk",IF(L319="Ferie","Ferie",IF(AND((S319-R319)=0,AB319=""),"",MAX((IF(T319="X",(S319-R319)*24-0.5,(S319-R319)*24)),AB319))))))))</f>
        <v/>
      </c>
      <c r="V319" s="58"/>
      <c r="W319" s="21" t="str">
        <f t="shared" si="356"/>
        <v/>
      </c>
      <c r="X319" s="21" t="str">
        <f t="shared" si="357"/>
        <v/>
      </c>
      <c r="Z319" s="70" t="str">
        <f>IF(SUMIFS(TrackingTime!H:H,TrackingTime!F:F,Timer!B319,TrackingTime!C:C,"Hovedkontoret")&gt;0,SUMIFS(TrackingTime!H:H,TrackingTime!F:F,Timer!B319,TrackingTime!C:C,"Hovedkontoret"),"")</f>
        <v/>
      </c>
      <c r="AA319" s="71" t="str">
        <f t="shared" si="300"/>
        <v/>
      </c>
      <c r="AB319" t="str">
        <f>IF(SUMIFS(TrackingTime!H:H,TrackingTime!F:F,Timer!B319,TrackingTime!C:C,Start!$F$3)&gt;0,SUMIFS(TrackingTime!H:H,TrackingTime!F:F,Timer!B319,TrackingTime!C:C,Start!$F$3),"")</f>
        <v/>
      </c>
      <c r="AC319" s="71" t="str">
        <f t="shared" si="303"/>
        <v/>
      </c>
    </row>
    <row r="320" spans="1:29" x14ac:dyDescent="0.25">
      <c r="A320" s="15"/>
      <c r="B320" s="63">
        <f t="shared" si="358"/>
        <v>46200</v>
      </c>
      <c r="C320">
        <f>IFERROR(IF(OR(L320="Fri",L320="Ferie",L320="Syk",L320="Omsorg",B320&lt;Start!$B$7),0,IF(IFERROR(MATCH(B320,Start!A$253:A$273,0),0)&gt;0,VLOOKUP(B320,Start!A$253:F$273,3,FALSE)/100*Start!$B$4,VLOOKUP(WEEKDAY(B320,2),Start!A$240:F$246,4,FALSE))),"")</f>
        <v>0</v>
      </c>
      <c r="D320">
        <f>IFERROR(IF(OR(U320="Fri",U320="Ferie",U320="Syk",U320="Omsorg",B320&lt;Start!$F$7),0,IF(IFERROR(MATCH(B320,Start!A$253:A$273,0),0)&gt;0,VLOOKUP(B320,Start!A$253:F$273,3,FALSE)/100*Start!$F$4,VLOOKUP(WEEKDAY(B320,2),Start!A$240:F$246,6,FALSE))),"")</f>
        <v>0</v>
      </c>
      <c r="E320">
        <f t="shared" ca="1" si="329"/>
        <v>0</v>
      </c>
      <c r="F320">
        <f>IFERROR(IF(YEAR(B320)=Start!$B$1,MONTH(B320),""),"")</f>
        <v>6</v>
      </c>
      <c r="G320" s="64" t="str">
        <f>IFERROR(VLOOKUP(B320,Start!A$111:B$273,2,FALSE),"")</f>
        <v/>
      </c>
      <c r="H320" s="21"/>
      <c r="I320" s="78">
        <v>0.41666666666666669</v>
      </c>
      <c r="J320" s="78">
        <v>0.41666666666666669</v>
      </c>
      <c r="K320" s="1" t="str">
        <f>IF(Start!$B$6="Ja","",IF(((J320-I320)*24)&gt;=5.5,"X",""))</f>
        <v/>
      </c>
      <c r="L320" s="1" t="str">
        <f t="shared" ref="L320:L321" si="359">IF(AND((J320-I320)=0,Z320=""),"",MAX((IF(K320="X",(J320-I320)*24-0.5,(J320-I320)*24)),Z320))</f>
        <v/>
      </c>
      <c r="M320" s="58"/>
      <c r="N320" s="21" t="str">
        <f t="shared" si="354"/>
        <v/>
      </c>
      <c r="O320" s="21" t="str">
        <f t="shared" si="355"/>
        <v/>
      </c>
      <c r="P320" s="2"/>
      <c r="Q320" s="21"/>
      <c r="R320" s="78">
        <v>0.41666666666666669</v>
      </c>
      <c r="S320" s="78">
        <v>0.41666666666666669</v>
      </c>
      <c r="T320" s="1" t="str">
        <f>IF(Start!$B$6="Ja","",IF(((S320-R320)*24)&gt;=5.5,"X",""))</f>
        <v/>
      </c>
      <c r="U320" s="1" t="str">
        <f t="shared" ref="U320:U321" si="360">IF(AND((S320-R320)=0,AB320=""),"",MAX((IF(T320="X",(S320-R320)*24-0.5,(S320-R320)*24)),AB320))</f>
        <v/>
      </c>
      <c r="V320" s="58"/>
      <c r="W320" s="21" t="str">
        <f t="shared" si="356"/>
        <v/>
      </c>
      <c r="X320" s="21" t="str">
        <f t="shared" si="357"/>
        <v/>
      </c>
      <c r="Z320" s="70" t="str">
        <f>IF(SUMIFS(TrackingTime!H:H,TrackingTime!F:F,Timer!B320,TrackingTime!C:C,"Hovedkontoret")&gt;0,SUMIFS(TrackingTime!H:H,TrackingTime!F:F,Timer!B320,TrackingTime!C:C,"Hovedkontoret"),"")</f>
        <v/>
      </c>
      <c r="AA320" s="71" t="str">
        <f t="shared" si="300"/>
        <v/>
      </c>
      <c r="AB320" t="str">
        <f>IF(SUMIFS(TrackingTime!H:H,TrackingTime!F:F,Timer!B320,TrackingTime!C:C,Start!$F$3)&gt;0,SUMIFS(TrackingTime!H:H,TrackingTime!F:F,Timer!B320,TrackingTime!C:C,Start!$F$3),"")</f>
        <v/>
      </c>
      <c r="AC320" s="71" t="str">
        <f t="shared" si="303"/>
        <v/>
      </c>
    </row>
    <row r="321" spans="1:29" x14ac:dyDescent="0.25">
      <c r="A321" s="15"/>
      <c r="B321" s="63">
        <f t="shared" si="358"/>
        <v>46201</v>
      </c>
      <c r="C321">
        <f>IFERROR(IF(OR(L321="Fri",L321="Ferie",L321="Syk",L321="Omsorg",B321&lt;Start!$B$7),0,IF(IFERROR(MATCH(B321,Start!A$253:A$273,0),0)&gt;0,VLOOKUP(B321,Start!A$253:F$273,3,FALSE)/100*Start!$B$4,VLOOKUP(WEEKDAY(B321,2),Start!A$240:F$246,4,FALSE))),"")</f>
        <v>0</v>
      </c>
      <c r="D321">
        <f>IFERROR(IF(OR(U321="Fri",U321="Ferie",U321="Syk",U321="Omsorg",B321&lt;Start!$F$7),0,IF(IFERROR(MATCH(B321,Start!A$253:A$273,0),0)&gt;0,VLOOKUP(B321,Start!A$253:F$273,3,FALSE)/100*Start!$F$4,VLOOKUP(WEEKDAY(B321,2),Start!A$240:F$246,6,FALSE))),"")</f>
        <v>0</v>
      </c>
      <c r="E321">
        <f t="shared" ca="1" si="329"/>
        <v>0</v>
      </c>
      <c r="F321">
        <f>IFERROR(IF(YEAR(B321)=Start!$B$1,MONTH(B321),""),"")</f>
        <v>6</v>
      </c>
      <c r="G321" s="64" t="str">
        <f>IFERROR(VLOOKUP(B321,Start!A$111:B$273,2,FALSE),"")</f>
        <v/>
      </c>
      <c r="H321" s="25"/>
      <c r="I321" s="78">
        <v>0.41666666666666669</v>
      </c>
      <c r="J321" s="78">
        <v>0.41666666666666669</v>
      </c>
      <c r="K321" s="1" t="str">
        <f>IF(Start!$B$6="Ja","",IF(((J321-I321)*24)&gt;=5.5,"X",""))</f>
        <v/>
      </c>
      <c r="L321" s="1" t="str">
        <f t="shared" si="359"/>
        <v/>
      </c>
      <c r="M321" s="58"/>
      <c r="N321" s="21" t="str">
        <f t="shared" si="354"/>
        <v/>
      </c>
      <c r="O321" s="21" t="str">
        <f t="shared" si="355"/>
        <v/>
      </c>
      <c r="Q321" s="25"/>
      <c r="R321" s="78">
        <v>0.41666666666666669</v>
      </c>
      <c r="S321" s="78">
        <v>0.41666666666666669</v>
      </c>
      <c r="T321" s="1" t="str">
        <f>IF(Start!$B$6="Ja","",IF(((S321-R321)*24)&gt;=5.5,"X",""))</f>
        <v/>
      </c>
      <c r="U321" s="1" t="str">
        <f t="shared" si="360"/>
        <v/>
      </c>
      <c r="V321" s="58"/>
      <c r="W321" s="21" t="str">
        <f t="shared" si="356"/>
        <v/>
      </c>
      <c r="X321" s="21" t="str">
        <f t="shared" si="357"/>
        <v/>
      </c>
      <c r="Z321" s="70" t="str">
        <f>IF(SUMIFS(TrackingTime!H:H,TrackingTime!F:F,Timer!B321,TrackingTime!C:C,"Hovedkontoret")&gt;0,SUMIFS(TrackingTime!H:H,TrackingTime!F:F,Timer!B321,TrackingTime!C:C,"Hovedkontoret"),"")</f>
        <v/>
      </c>
      <c r="AA321" s="71" t="str">
        <f t="shared" si="300"/>
        <v/>
      </c>
      <c r="AB321" t="str">
        <f>IF(SUMIFS(TrackingTime!H:H,TrackingTime!F:F,Timer!B321,TrackingTime!C:C,Start!$F$3)&gt;0,SUMIFS(TrackingTime!H:H,TrackingTime!F:F,Timer!B321,TrackingTime!C:C,Start!$F$3),"")</f>
        <v/>
      </c>
      <c r="AC321" s="71" t="str">
        <f t="shared" si="303"/>
        <v/>
      </c>
    </row>
    <row r="322" spans="1:29" x14ac:dyDescent="0.25">
      <c r="A322" s="15"/>
      <c r="B322" s="4" t="s">
        <v>11</v>
      </c>
      <c r="C322" s="24"/>
      <c r="D322" s="24"/>
      <c r="E322" s="24">
        <f t="shared" ca="1" si="329"/>
        <v>0</v>
      </c>
      <c r="F322" s="24" t="str">
        <f>IFERROR(IF(YEAR(B322)=Start!$B$1,MONTH(B322),""),"")</f>
        <v/>
      </c>
      <c r="G322" s="64" t="str">
        <f>IFERROR(VLOOKUP(B322,Start!A$111:B$273,2,FALSE),"")</f>
        <v/>
      </c>
      <c r="H322" s="4"/>
      <c r="I322" s="4"/>
      <c r="J322" s="4"/>
      <c r="K322" s="4"/>
      <c r="L322" s="5">
        <f t="shared" si="345"/>
        <v>0</v>
      </c>
      <c r="N322" s="24"/>
      <c r="O322" s="39">
        <f t="shared" ref="O322" si="361">SUM(O315:O321)</f>
        <v>0</v>
      </c>
      <c r="P322" s="40"/>
      <c r="Q322" s="41"/>
      <c r="R322" s="4"/>
      <c r="S322" s="4"/>
      <c r="T322" s="4"/>
      <c r="U322" s="5">
        <f t="shared" ref="U322" si="362">SUM($U315:$U321)</f>
        <v>0</v>
      </c>
      <c r="V322" s="58"/>
      <c r="W322" s="39"/>
      <c r="X322" s="39">
        <f t="shared" si="319"/>
        <v>0</v>
      </c>
      <c r="Z322" s="70" t="str">
        <f>IF(SUMIFS(TrackingTime!H:H,TrackingTime!F:F,Timer!B322,TrackingTime!C:C,"Hovedkontoret")&gt;0,SUMIFS(TrackingTime!H:H,TrackingTime!F:F,Timer!B322,TrackingTime!C:C,"Hovedkontoret"),"")</f>
        <v/>
      </c>
      <c r="AA322" s="71" t="str">
        <f t="shared" si="300"/>
        <v/>
      </c>
      <c r="AB322" t="str">
        <f>IF(SUMIFS(TrackingTime!H:H,TrackingTime!F:F,Timer!B322,TrackingTime!C:C,Start!$F$3)&gt;0,SUMIFS(TrackingTime!H:H,TrackingTime!F:F,Timer!B322,TrackingTime!C:C,Start!$F$3),"")</f>
        <v/>
      </c>
      <c r="AC322" s="71" t="str">
        <f t="shared" si="303"/>
        <v/>
      </c>
    </row>
    <row r="323" spans="1:29" x14ac:dyDescent="0.25">
      <c r="A323" s="15"/>
      <c r="B323" t="s">
        <v>90</v>
      </c>
      <c r="E323">
        <f t="shared" ca="1" si="329"/>
        <v>0</v>
      </c>
      <c r="F323" t="str">
        <f>IFERROR(IF(YEAR(B323)=Start!$B$1,MONTH(B323),""),"")</f>
        <v/>
      </c>
      <c r="G323" s="64" t="str">
        <f>IFERROR(VLOOKUP(B323,Start!A$111:B$273,2,FALSE),"")</f>
        <v/>
      </c>
      <c r="L323" s="1">
        <f t="shared" si="348"/>
        <v>0</v>
      </c>
      <c r="M323" s="1"/>
      <c r="N323" s="1"/>
      <c r="O323" s="21">
        <f t="shared" ref="O323" si="363">L323</f>
        <v>0</v>
      </c>
      <c r="P323" s="40"/>
      <c r="Q323" s="21"/>
      <c r="U323" s="1">
        <f t="shared" ref="U323" si="364">SUMIFS(D315:D321,F315:F321,"&gt;0")</f>
        <v>0</v>
      </c>
      <c r="V323" s="1"/>
      <c r="W323" s="1"/>
      <c r="X323" s="21">
        <f>U323</f>
        <v>0</v>
      </c>
      <c r="Z323" s="70" t="str">
        <f>IF(SUMIFS(TrackingTime!H:H,TrackingTime!F:F,Timer!B323,TrackingTime!C:C,"Hovedkontoret")&gt;0,SUMIFS(TrackingTime!H:H,TrackingTime!F:F,Timer!B323,TrackingTime!C:C,"Hovedkontoret"),"")</f>
        <v/>
      </c>
      <c r="AA323" s="71" t="str">
        <f t="shared" si="300"/>
        <v/>
      </c>
      <c r="AB323" t="str">
        <f>IF(SUMIFS(TrackingTime!H:H,TrackingTime!F:F,Timer!B323,TrackingTime!C:C,Start!$F$3)&gt;0,SUMIFS(TrackingTime!H:H,TrackingTime!F:F,Timer!B323,TrackingTime!C:C,Start!$F$3),"")</f>
        <v/>
      </c>
      <c r="AC323" s="71" t="str">
        <f t="shared" si="303"/>
        <v/>
      </c>
    </row>
    <row r="324" spans="1:29" x14ac:dyDescent="0.25">
      <c r="A324" s="16">
        <f>B321-B315-1</f>
        <v>5</v>
      </c>
      <c r="B324" t="s">
        <v>117</v>
      </c>
      <c r="E324">
        <f t="shared" ca="1" si="329"/>
        <v>0</v>
      </c>
      <c r="F324" t="str">
        <f>IFERROR(IF(YEAR(B324)=Start!$B$1,MONTH(B324),""),"")</f>
        <v/>
      </c>
      <c r="G324" s="64" t="str">
        <f>IFERROR(VLOOKUP(B324,Start!A$111:B$273,2,FALSE),"")</f>
        <v/>
      </c>
      <c r="L324" s="77">
        <f t="shared" ca="1" si="351"/>
        <v>0</v>
      </c>
      <c r="O324" s="21">
        <f t="shared" ref="O324" si="365">O322-O323</f>
        <v>0</v>
      </c>
      <c r="P324" s="21"/>
      <c r="Q324" s="21"/>
      <c r="U324" s="1">
        <f t="shared" ref="U324" ca="1" si="366">U322-U323*(IF(NETWORKDAYS($B315,TODAY())&lt;0,0,IF(NETWORKDAYS($B315,TODAY())&lt;=$A324,NETWORKDAYS($B315,TODAY()),$A324)))/$A324</f>
        <v>0</v>
      </c>
      <c r="V324" s="58"/>
      <c r="W324" s="21"/>
      <c r="X324" s="21">
        <f>X322-X323</f>
        <v>0</v>
      </c>
      <c r="Z324" s="70" t="str">
        <f>IF(SUMIFS(TrackingTime!H:H,TrackingTime!F:F,Timer!B324,TrackingTime!C:C,"Hovedkontoret")&gt;0,SUMIFS(TrackingTime!H:H,TrackingTime!F:F,Timer!B324,TrackingTime!C:C,"Hovedkontoret"),"")</f>
        <v/>
      </c>
      <c r="AA324" s="71" t="str">
        <f t="shared" si="300"/>
        <v/>
      </c>
      <c r="AB324" t="str">
        <f>IF(SUMIFS(TrackingTime!H:H,TrackingTime!F:F,Timer!B324,TrackingTime!C:C,Start!$F$3)&gt;0,SUMIFS(TrackingTime!H:H,TrackingTime!F:F,Timer!B324,TrackingTime!C:C,Start!$F$3),"")</f>
        <v/>
      </c>
      <c r="AC324" s="71" t="str">
        <f t="shared" si="303"/>
        <v/>
      </c>
    </row>
    <row r="325" spans="1:29" x14ac:dyDescent="0.25">
      <c r="A325" s="15"/>
      <c r="E325">
        <f t="shared" ca="1" si="329"/>
        <v>1</v>
      </c>
      <c r="F325" t="str">
        <f>IFERROR(IF(YEAR(B325)=Start!$B$1,MONTH(B325),""),"")</f>
        <v/>
      </c>
      <c r="G325" s="64" t="str">
        <f>IFERROR(VLOOKUP(B325,Start!A$111:B$273,2,FALSE),"")</f>
        <v/>
      </c>
      <c r="O325" s="2"/>
      <c r="P325" s="2"/>
      <c r="U325" s="1"/>
      <c r="V325" s="7"/>
      <c r="X325" s="2"/>
      <c r="Z325" s="70" t="str">
        <f>IF(SUMIFS(TrackingTime!H:H,TrackingTime!F:F,Timer!B325,TrackingTime!C:C,"Hovedkontoret")&gt;0,SUMIFS(TrackingTime!H:H,TrackingTime!F:F,Timer!B325,TrackingTime!C:C,"Hovedkontoret"),"")</f>
        <v/>
      </c>
      <c r="AA325" s="71" t="str">
        <f t="shared" si="300"/>
        <v/>
      </c>
      <c r="AB325" t="str">
        <f>IF(SUMIFS(TrackingTime!H:H,TrackingTime!F:F,Timer!B325,TrackingTime!C:C,Start!$F$3)&gt;0,SUMIFS(TrackingTime!H:H,TrackingTime!F:F,Timer!B325,TrackingTime!C:C,Start!$F$3),"")</f>
        <v/>
      </c>
      <c r="AC325" s="71" t="str">
        <f t="shared" si="303"/>
        <v/>
      </c>
    </row>
    <row r="326" spans="1:29" x14ac:dyDescent="0.25">
      <c r="A326" s="2" t="s">
        <v>82</v>
      </c>
      <c r="B326" s="14" t="s">
        <v>83</v>
      </c>
      <c r="E326">
        <f t="shared" ca="1" si="329"/>
        <v>0</v>
      </c>
      <c r="F326" t="str">
        <f>IFERROR(IF(YEAR(B326)=Start!$B$1,MONTH(B326),""),"")</f>
        <v/>
      </c>
      <c r="G326" s="64" t="str">
        <f>IFERROR(VLOOKUP(B326,Start!A$111:B$273,2,FALSE),"")</f>
        <v/>
      </c>
      <c r="H326" s="2" t="s">
        <v>86</v>
      </c>
      <c r="I326" s="2" t="s">
        <v>125</v>
      </c>
      <c r="J326" s="2" t="s">
        <v>126</v>
      </c>
      <c r="K326" s="2" t="s">
        <v>127</v>
      </c>
      <c r="L326" s="3" t="s">
        <v>87</v>
      </c>
      <c r="M326" s="6"/>
      <c r="N326" s="2" t="s">
        <v>88</v>
      </c>
      <c r="O326" s="2" t="s">
        <v>89</v>
      </c>
      <c r="P326" s="2"/>
      <c r="Q326" s="2" t="s">
        <v>86</v>
      </c>
      <c r="R326" s="2" t="s">
        <v>125</v>
      </c>
      <c r="S326" s="2" t="s">
        <v>126</v>
      </c>
      <c r="T326" s="2" t="s">
        <v>127</v>
      </c>
      <c r="U326" s="3" t="s">
        <v>87</v>
      </c>
      <c r="V326" s="6"/>
      <c r="W326" s="2" t="s">
        <v>88</v>
      </c>
      <c r="X326" s="2" t="s">
        <v>89</v>
      </c>
      <c r="Z326" s="70" t="str">
        <f>IF(SUMIFS(TrackingTime!H:H,TrackingTime!F:F,Timer!B326,TrackingTime!C:C,"Hovedkontoret")&gt;0,SUMIFS(TrackingTime!H:H,TrackingTime!F:F,Timer!B326,TrackingTime!C:C,"Hovedkontoret"),"")</f>
        <v/>
      </c>
      <c r="AA326" s="71" t="str">
        <f t="shared" si="300"/>
        <v/>
      </c>
      <c r="AB326" t="str">
        <f>IF(SUMIFS(TrackingTime!H:H,TrackingTime!F:F,Timer!B326,TrackingTime!C:C,Start!$F$3)&gt;0,SUMIFS(TrackingTime!H:H,TrackingTime!F:F,Timer!B326,TrackingTime!C:C,Start!$F$3),"")</f>
        <v/>
      </c>
      <c r="AC326" s="71" t="str">
        <f t="shared" si="303"/>
        <v/>
      </c>
    </row>
    <row r="327" spans="1:29" x14ac:dyDescent="0.25">
      <c r="A327" s="15">
        <f>WEEKNUM(B327,21)</f>
        <v>27</v>
      </c>
      <c r="B327" s="63">
        <f>B321+(DAY(1))</f>
        <v>46202</v>
      </c>
      <c r="C327" t="str">
        <f>IFERROR(IF(OR(L327="Fri",L327="Ferie",L327="Syk",L327="Omsorg",B327&lt;Start!$B$7),0,IF(IFERROR(MATCH(B327,Start!A$253:A$273,0),0)&gt;0,VLOOKUP(B327,Start!A$253:F$273,3,FALSE)/100*Start!$B$4,VLOOKUP(WEEKDAY(B327,2),Start!A$240:F$246,4,FALSE))),"")</f>
        <v/>
      </c>
      <c r="D327" t="str">
        <f>IFERROR(IF(OR(U327="Fri",U327="Ferie",U327="Syk",U327="Omsorg",B327&lt;Start!$F$7),0,IF(IFERROR(MATCH(B327,Start!A$253:A$273,0),0)&gt;0,VLOOKUP(B327,Start!A$253:F$273,3,FALSE)/100*Start!$F$4,VLOOKUP(WEEKDAY(B327,2),Start!A$240:F$246,6,FALSE))),"")</f>
        <v/>
      </c>
      <c r="E327">
        <f t="shared" ca="1" si="329"/>
        <v>0</v>
      </c>
      <c r="F327">
        <f>IFERROR(IF(YEAR(B327)=Start!$B$1,MONTH(B327),""),"")</f>
        <v>6</v>
      </c>
      <c r="G327" s="64" t="str">
        <f>IFERROR(VLOOKUP(B327,Start!A$111:B$273,2,FALSE),"")</f>
        <v/>
      </c>
      <c r="H327" s="21"/>
      <c r="I327" s="78">
        <v>0.33333333333333331</v>
      </c>
      <c r="J327" s="78">
        <v>0.33333333333333331</v>
      </c>
      <c r="K327" s="1" t="str">
        <f>IF(Start!$B$6="Ja","",IF(((J327-I327)*24)&gt;=5.5,"X",""))</f>
        <v/>
      </c>
      <c r="L327" s="1" t="str">
        <f>IF(_xlfn.IFNA(MATCH($A327,Start!$H$3:$H$11,0),0)&gt;0,"Ferie",IFERROR(IF(VLOOKUP(B327,Start!A$165:B$234,2,FALSE)&gt;0,"Fri",0),IF(AND((J327-I327)=0,Z327=""),"",MAX((IF(K327="X",(J327-I327)*24-0.5,(J327-I327)*24)),Z327))))</f>
        <v/>
      </c>
      <c r="M327" s="58"/>
      <c r="N327" s="21" t="str">
        <f t="shared" ref="N327:N333" si="367">IF(H327=0,"",H327)</f>
        <v/>
      </c>
      <c r="O327" s="21" t="str">
        <f t="shared" ref="O327:O333" si="368">IF(L327=0,"",L327)</f>
        <v/>
      </c>
      <c r="P327" s="2"/>
      <c r="Q327" s="21"/>
      <c r="R327" s="78">
        <v>0.33333333333333331</v>
      </c>
      <c r="S327" s="78">
        <v>0.33333333333333331</v>
      </c>
      <c r="T327" s="1" t="str">
        <f>IF(Start!$B$6="Ja","",IF(((S327-R327)*24)&gt;=5.5,"X",""))</f>
        <v/>
      </c>
      <c r="U327" s="1" t="str">
        <f>IF(_xlfn.IFNA(MATCH($A$15,Start!$H$3:$H$11,0),0)&gt;0,"Ferie",(IF(L327="fri","Fri",(IF(L327="syk","Syk",IF(L327="Ferie","Ferie",IF(AND((S327-R327)=0,AB327=""),"",MAX((IF(T327="X",(S327-R327)*24-0.5,(S327-R327)*24)),AB327))))))))</f>
        <v/>
      </c>
      <c r="V327" s="58"/>
      <c r="W327" s="21" t="str">
        <f t="shared" ref="W327:W333" si="369">IF(Q327=0,"",Q327)</f>
        <v/>
      </c>
      <c r="X327" s="21" t="str">
        <f t="shared" ref="X327:X333" si="370">IF(U327=0,"",U327)</f>
        <v/>
      </c>
      <c r="Z327" s="70" t="str">
        <f>IF(SUMIFS(TrackingTime!H:H,TrackingTime!F:F,Timer!B327,TrackingTime!C:C,"Hovedkontoret")&gt;0,SUMIFS(TrackingTime!H:H,TrackingTime!F:F,Timer!B327,TrackingTime!C:C,"Hovedkontoret"),"")</f>
        <v/>
      </c>
      <c r="AA327" s="71" t="str">
        <f t="shared" si="300"/>
        <v/>
      </c>
      <c r="AB327" t="str">
        <f>IF(SUMIFS(TrackingTime!H:H,TrackingTime!F:F,Timer!B327,TrackingTime!C:C,Start!$F$3)&gt;0,SUMIFS(TrackingTime!H:H,TrackingTime!F:F,Timer!B327,TrackingTime!C:C,Start!$F$3),"")</f>
        <v/>
      </c>
      <c r="AC327" s="71" t="str">
        <f t="shared" si="303"/>
        <v/>
      </c>
    </row>
    <row r="328" spans="1:29" x14ac:dyDescent="0.25">
      <c r="A328" s="15"/>
      <c r="B328" s="63">
        <f t="shared" ref="B328:B333" si="371">B327+DAY(1)</f>
        <v>46203</v>
      </c>
      <c r="C328" t="str">
        <f>IFERROR(IF(OR(L328="Fri",L328="Ferie",L328="Syk",L328="Omsorg",B328&lt;Start!$B$7),0,IF(IFERROR(MATCH(B328,Start!A$253:A$273,0),0)&gt;0,VLOOKUP(B328,Start!A$253:F$273,3,FALSE)/100*Start!$B$4,VLOOKUP(WEEKDAY(B328,2),Start!A$240:F$246,4,FALSE))),"")</f>
        <v/>
      </c>
      <c r="D328" t="str">
        <f>IFERROR(IF(OR(U328="Fri",U328="Ferie",U328="Syk",U328="Omsorg",B328&lt;Start!$F$7),0,IF(IFERROR(MATCH(B328,Start!A$253:A$273,0),0)&gt;0,VLOOKUP(B328,Start!A$253:F$273,3,FALSE)/100*Start!$F$4,VLOOKUP(WEEKDAY(B328,2),Start!A$240:F$246,6,FALSE))),"")</f>
        <v/>
      </c>
      <c r="E328">
        <f t="shared" ca="1" si="329"/>
        <v>0</v>
      </c>
      <c r="F328">
        <f>IFERROR(IF(YEAR(B328)=Start!$B$1,MONTH(B328),""),"")</f>
        <v>6</v>
      </c>
      <c r="G328" s="64" t="str">
        <f>IFERROR(VLOOKUP(B328,Start!A$111:B$273,2,FALSE),"")</f>
        <v/>
      </c>
      <c r="H328" s="21"/>
      <c r="I328" s="78">
        <v>0.33333333333333331</v>
      </c>
      <c r="J328" s="78">
        <v>0.33333333333333331</v>
      </c>
      <c r="K328" s="1" t="str">
        <f>IF(Start!$B$6="Ja","",IF(((J328-I328)*24)&gt;=5.5,"X",""))</f>
        <v/>
      </c>
      <c r="L328" s="1" t="str">
        <f>IF(_xlfn.IFNA(MATCH($A327,Start!$H$3:$H$11,0),0)&gt;0,"Ferie",IFERROR(IF(VLOOKUP($B328,Start!$A$165:$B$234,2,FALSE)&gt;0,"Fri",0),IF(AND((J328-I328)=0,Z328=""),"",MAX((IF(K328="X",(J328-I328)*24-0.5,(J328-I328)*24)),Z328))))</f>
        <v/>
      </c>
      <c r="M328" s="58"/>
      <c r="N328" s="21" t="str">
        <f t="shared" si="367"/>
        <v/>
      </c>
      <c r="O328" s="21" t="str">
        <f t="shared" si="368"/>
        <v/>
      </c>
      <c r="P328" s="2"/>
      <c r="Q328" s="21"/>
      <c r="R328" s="78">
        <v>0.33333333333333331</v>
      </c>
      <c r="S328" s="78">
        <v>0.33333333333333331</v>
      </c>
      <c r="T328" s="1" t="str">
        <f>IF(Start!$B$6="Ja","",IF(((S328-R328)*24)&gt;=5.5,"X",""))</f>
        <v/>
      </c>
      <c r="U328" s="1" t="str">
        <f>IF(_xlfn.IFNA(MATCH($A$15,Start!$H$3:$H$11,0),0)&gt;0,"Ferie",(IF(L328="fri","Fri",(IF(L328="syk","Syk",IF(L328="Ferie","Ferie",IF(AND((S328-R328)=0,AB328=""),"",MAX((IF(T328="X",(S328-R328)*24-0.5,(S328-R328)*24)),AB328))))))))</f>
        <v/>
      </c>
      <c r="V328" s="58"/>
      <c r="W328" s="21" t="str">
        <f t="shared" si="369"/>
        <v/>
      </c>
      <c r="X328" s="21" t="str">
        <f t="shared" si="370"/>
        <v/>
      </c>
      <c r="Z328" s="70" t="str">
        <f>IF(SUMIFS(TrackingTime!H:H,TrackingTime!F:F,Timer!B328,TrackingTime!C:C,"Hovedkontoret")&gt;0,SUMIFS(TrackingTime!H:H,TrackingTime!F:F,Timer!B328,TrackingTime!C:C,"Hovedkontoret"),"")</f>
        <v/>
      </c>
      <c r="AA328" s="71" t="str">
        <f t="shared" si="300"/>
        <v/>
      </c>
      <c r="AB328" t="str">
        <f>IF(SUMIFS(TrackingTime!H:H,TrackingTime!F:F,Timer!B328,TrackingTime!C:C,Start!$F$3)&gt;0,SUMIFS(TrackingTime!H:H,TrackingTime!F:F,Timer!B328,TrackingTime!C:C,Start!$F$3),"")</f>
        <v/>
      </c>
      <c r="AC328" s="71" t="str">
        <f t="shared" si="303"/>
        <v/>
      </c>
    </row>
    <row r="329" spans="1:29" x14ac:dyDescent="0.25">
      <c r="A329" s="15"/>
      <c r="B329" s="63">
        <f t="shared" si="371"/>
        <v>46204</v>
      </c>
      <c r="C329" t="str">
        <f>IFERROR(IF(OR(L329="Fri",L329="Ferie",L329="Syk",L329="Omsorg",B329&lt;Start!$B$7),0,IF(IFERROR(MATCH(B329,Start!A$253:A$273,0),0)&gt;0,VLOOKUP(B329,Start!A$253:F$273,3,FALSE)/100*Start!$B$4,VLOOKUP(WEEKDAY(B329,2),Start!A$240:F$246,4,FALSE))),"")</f>
        <v/>
      </c>
      <c r="D329" t="str">
        <f>IFERROR(IF(OR(U329="Fri",U329="Ferie",U329="Syk",U329="Omsorg",B329&lt;Start!$F$7),0,IF(IFERROR(MATCH(B329,Start!A$253:A$273,0),0)&gt;0,VLOOKUP(B329,Start!A$253:F$273,3,FALSE)/100*Start!$F$4,VLOOKUP(WEEKDAY(B329,2),Start!A$240:F$246,6,FALSE))),"")</f>
        <v/>
      </c>
      <c r="E329">
        <f t="shared" ca="1" si="329"/>
        <v>0</v>
      </c>
      <c r="F329">
        <f>IFERROR(IF(YEAR(B329)=Start!$B$1,MONTH(B329),""),"")</f>
        <v>7</v>
      </c>
      <c r="G329" s="64" t="str">
        <f>IFERROR(VLOOKUP(B329,Start!A$111:B$273,2,FALSE),"")</f>
        <v/>
      </c>
      <c r="H329" s="21"/>
      <c r="I329" s="78">
        <v>0.33333333333333331</v>
      </c>
      <c r="J329" s="78">
        <v>0.33333333333333331</v>
      </c>
      <c r="K329" s="1" t="str">
        <f>IF(Start!$B$6="Ja","",IF(((J329-I329)*24)&gt;=5.5,"X",""))</f>
        <v/>
      </c>
      <c r="L329" s="1" t="str">
        <f>IF(_xlfn.IFNA(MATCH($A327,Start!$H$3:$H$11,0),0)&gt;0,"Ferie",IFERROR(IF(VLOOKUP(B329,Start!A$165:B$234,2,FALSE)&gt;0,"Fri",0),IF(AND((J329-I329)=0,Z329=""),"",MAX((IF(K329="X",(J329-I329)*24-0.5,(J329-I329)*24)),Z329))))</f>
        <v/>
      </c>
      <c r="M329" s="58"/>
      <c r="N329" s="21" t="str">
        <f t="shared" si="367"/>
        <v/>
      </c>
      <c r="O329" s="21" t="str">
        <f t="shared" si="368"/>
        <v/>
      </c>
      <c r="P329" s="2"/>
      <c r="Q329" s="21"/>
      <c r="R329" s="78">
        <v>0.33333333333333331</v>
      </c>
      <c r="S329" s="78">
        <v>0.33333333333333331</v>
      </c>
      <c r="T329" s="1" t="str">
        <f>IF(Start!$B$6="Ja","",IF(((S329-R329)*24)&gt;=5.5,"X",""))</f>
        <v/>
      </c>
      <c r="U329" s="1" t="str">
        <f>IF(_xlfn.IFNA(MATCH($A$15,Start!$H$3:$H$11,0),0)&gt;0,"Ferie",(IF(L329="fri","Fri",(IF(L329="syk","Syk",IF(L329="Ferie","Ferie",IF(AND((S329-R329)=0,AB329=""),"",MAX((IF(T329="X",(S329-R329)*24-0.5,(S329-R329)*24)),AB329))))))))</f>
        <v/>
      </c>
      <c r="V329" s="58"/>
      <c r="W329" s="21" t="str">
        <f t="shared" si="369"/>
        <v/>
      </c>
      <c r="X329" s="21" t="str">
        <f t="shared" si="370"/>
        <v/>
      </c>
      <c r="Z329" s="70" t="str">
        <f>IF(SUMIFS(TrackingTime!H:H,TrackingTime!F:F,Timer!B329,TrackingTime!C:C,"Hovedkontoret")&gt;0,SUMIFS(TrackingTime!H:H,TrackingTime!F:F,Timer!B329,TrackingTime!C:C,"Hovedkontoret"),"")</f>
        <v/>
      </c>
      <c r="AA329" s="71" t="str">
        <f t="shared" si="300"/>
        <v/>
      </c>
      <c r="AB329" t="str">
        <f>IF(SUMIFS(TrackingTime!H:H,TrackingTime!F:F,Timer!B329,TrackingTime!C:C,Start!$F$3)&gt;0,SUMIFS(TrackingTime!H:H,TrackingTime!F:F,Timer!B329,TrackingTime!C:C,Start!$F$3),"")</f>
        <v/>
      </c>
      <c r="AC329" s="71" t="str">
        <f t="shared" si="303"/>
        <v/>
      </c>
    </row>
    <row r="330" spans="1:29" x14ac:dyDescent="0.25">
      <c r="A330" s="15"/>
      <c r="B330" s="63">
        <f t="shared" si="371"/>
        <v>46205</v>
      </c>
      <c r="C330" t="str">
        <f>IFERROR(IF(OR(L330="Fri",L330="Ferie",L330="Syk",L330="Omsorg",B330&lt;Start!$B$7),0,IF(IFERROR(MATCH(B330,Start!A$253:A$273,0),0)&gt;0,VLOOKUP(B330,Start!A$253:F$273,3,FALSE)/100*Start!$B$4,VLOOKUP(WEEKDAY(B330,2),Start!A$240:F$246,4,FALSE))),"")</f>
        <v/>
      </c>
      <c r="D330" t="str">
        <f>IFERROR(IF(OR(U330="Fri",U330="Ferie",U330="Syk",U330="Omsorg",B330&lt;Start!$F$7),0,IF(IFERROR(MATCH(B330,Start!A$253:A$273,0),0)&gt;0,VLOOKUP(B330,Start!A$253:F$273,3,FALSE)/100*Start!$F$4,VLOOKUP(WEEKDAY(B330,2),Start!A$240:F$246,6,FALSE))),"")</f>
        <v/>
      </c>
      <c r="E330">
        <f t="shared" ca="1" si="329"/>
        <v>0</v>
      </c>
      <c r="F330">
        <f>IFERROR(IF(YEAR(B330)=Start!$B$1,MONTH(B330),""),"")</f>
        <v>7</v>
      </c>
      <c r="G330" s="64" t="str">
        <f>IFERROR(VLOOKUP(B330,Start!A$111:B$273,2,FALSE),"")</f>
        <v/>
      </c>
      <c r="H330" s="21"/>
      <c r="I330" s="78">
        <v>0.33333333333333331</v>
      </c>
      <c r="J330" s="78">
        <v>0.33333333333333331</v>
      </c>
      <c r="K330" s="1" t="str">
        <f>IF(Start!$B$6="Ja","",IF(((J330-I330)*24)&gt;=5.5,"X",""))</f>
        <v/>
      </c>
      <c r="L330" s="1" t="str">
        <f>IF(_xlfn.IFNA(MATCH($A327,Start!$H$3:$H$11,0),0)&gt;0,"Ferie",IFERROR(IF(VLOOKUP(B330,Start!A$165:B$234,2,FALSE)&gt;0,"Fri",0),IF(AND((J330-I330)=0,Z330=""),"",MAX((IF(K330="X",(J330-I330)*24-0.5,(J330-I330)*24)),Z330))))</f>
        <v/>
      </c>
      <c r="M330" s="58"/>
      <c r="N330" s="21" t="str">
        <f t="shared" si="367"/>
        <v/>
      </c>
      <c r="O330" s="21" t="str">
        <f t="shared" si="368"/>
        <v/>
      </c>
      <c r="P330" s="2"/>
      <c r="Q330" s="21"/>
      <c r="R330" s="78">
        <v>0.33333333333333331</v>
      </c>
      <c r="S330" s="78">
        <v>0.33333333333333331</v>
      </c>
      <c r="T330" s="1" t="str">
        <f>IF(Start!$B$6="Ja","",IF(((S330-R330)*24)&gt;=5.5,"X",""))</f>
        <v/>
      </c>
      <c r="U330" s="1" t="str">
        <f>IF(_xlfn.IFNA(MATCH($A$15,Start!$H$3:$H$11,0),0)&gt;0,"Ferie",(IF(L330="fri","Fri",(IF(L330="syk","Syk",IF(L330="Ferie","Ferie",IF(AND((S330-R330)=0,AB330=""),"",MAX((IF(T330="X",(S330-R330)*24-0.5,(S330-R330)*24)),AB330))))))))</f>
        <v/>
      </c>
      <c r="V330" s="58"/>
      <c r="W330" s="21" t="str">
        <f t="shared" si="369"/>
        <v/>
      </c>
      <c r="X330" s="21" t="str">
        <f t="shared" si="370"/>
        <v/>
      </c>
      <c r="Z330" s="70" t="str">
        <f>IF(SUMIFS(TrackingTime!H:H,TrackingTime!F:F,Timer!B330,TrackingTime!C:C,"Hovedkontoret")&gt;0,SUMIFS(TrackingTime!H:H,TrackingTime!F:F,Timer!B330,TrackingTime!C:C,"Hovedkontoret"),"")</f>
        <v/>
      </c>
      <c r="AA330" s="71" t="str">
        <f t="shared" si="300"/>
        <v/>
      </c>
      <c r="AB330" t="str">
        <f>IF(SUMIFS(TrackingTime!H:H,TrackingTime!F:F,Timer!B330,TrackingTime!C:C,Start!$F$3)&gt;0,SUMIFS(TrackingTime!H:H,TrackingTime!F:F,Timer!B330,TrackingTime!C:C,Start!$F$3),"")</f>
        <v/>
      </c>
      <c r="AC330" s="71" t="str">
        <f t="shared" si="303"/>
        <v/>
      </c>
    </row>
    <row r="331" spans="1:29" x14ac:dyDescent="0.25">
      <c r="A331" s="15"/>
      <c r="B331" s="63">
        <f t="shared" si="371"/>
        <v>46206</v>
      </c>
      <c r="C331" t="str">
        <f>IFERROR(IF(OR(L331="Fri",L331="Ferie",L331="Syk",L331="Omsorg",B331&lt;Start!$B$7),0,IF(IFERROR(MATCH(B331,Start!A$253:A$273,0),0)&gt;0,VLOOKUP(B331,Start!A$253:F$273,3,FALSE)/100*Start!$B$4,VLOOKUP(WEEKDAY(B331,2),Start!A$240:F$246,4,FALSE))),"")</f>
        <v/>
      </c>
      <c r="D331" t="str">
        <f>IFERROR(IF(OR(U331="Fri",U331="Ferie",U331="Syk",U331="Omsorg",B331&lt;Start!$F$7),0,IF(IFERROR(MATCH(B331,Start!A$253:A$273,0),0)&gt;0,VLOOKUP(B331,Start!A$253:F$273,3,FALSE)/100*Start!$F$4,VLOOKUP(WEEKDAY(B331,2),Start!A$240:F$246,6,FALSE))),"")</f>
        <v/>
      </c>
      <c r="E331">
        <f t="shared" ca="1" si="329"/>
        <v>0</v>
      </c>
      <c r="F331">
        <f>IFERROR(IF(YEAR(B331)=Start!$B$1,MONTH(B331),""),"")</f>
        <v>7</v>
      </c>
      <c r="G331" s="64" t="str">
        <f>IFERROR(VLOOKUP(B331,Start!A$111:B$273,2,FALSE),"")</f>
        <v/>
      </c>
      <c r="H331" s="21"/>
      <c r="I331" s="78">
        <v>0.33333333333333331</v>
      </c>
      <c r="J331" s="78">
        <v>0.33333333333333331</v>
      </c>
      <c r="K331" s="1" t="str">
        <f>IF(Start!$B$6="Ja","",IF(((J331-I331)*24)&gt;=5.5,"X",""))</f>
        <v/>
      </c>
      <c r="L331" s="1" t="str">
        <f>IF(_xlfn.IFNA(MATCH($A327,Start!$H$3:$H$11,0),0)&gt;0,"Ferie",IFERROR(IF(VLOOKUP(B331,Start!A$165:B$234,2,FALSE)&gt;0,"Fri",0),IF(AND((J331-I331)=0,Z331=""),"",MAX((IF(K331="X",(J331-I331)*24-0.5,(J331-I331)*24)),Z331))))</f>
        <v/>
      </c>
      <c r="M331" s="58"/>
      <c r="N331" s="21" t="str">
        <f t="shared" si="367"/>
        <v/>
      </c>
      <c r="O331" s="21" t="str">
        <f t="shared" si="368"/>
        <v/>
      </c>
      <c r="P331" s="2"/>
      <c r="Q331" s="21"/>
      <c r="R331" s="78">
        <v>0.33333333333333331</v>
      </c>
      <c r="S331" s="78">
        <v>0.33333333333333331</v>
      </c>
      <c r="T331" s="1" t="str">
        <f>IF(Start!$B$6="Ja","",IF(((S331-R331)*24)&gt;=5.5,"X",""))</f>
        <v/>
      </c>
      <c r="U331" s="1" t="str">
        <f>IF(_xlfn.IFNA(MATCH($A$15,Start!$H$3:$H$11,0),0)&gt;0,"Ferie",(IF(L331="fri","Fri",(IF(L331="syk","Syk",IF(L331="Ferie","Ferie",IF(AND((S331-R331)=0,AB331=""),"",MAX((IF(T331="X",(S331-R331)*24-0.5,(S331-R331)*24)),AB331))))))))</f>
        <v/>
      </c>
      <c r="V331" s="58"/>
      <c r="W331" s="21" t="str">
        <f t="shared" si="369"/>
        <v/>
      </c>
      <c r="X331" s="21" t="str">
        <f t="shared" si="370"/>
        <v/>
      </c>
      <c r="Z331" s="70" t="str">
        <f>IF(SUMIFS(TrackingTime!H:H,TrackingTime!F:F,Timer!B331,TrackingTime!C:C,"Hovedkontoret")&gt;0,SUMIFS(TrackingTime!H:H,TrackingTime!F:F,Timer!B331,TrackingTime!C:C,"Hovedkontoret"),"")</f>
        <v/>
      </c>
      <c r="AA331" s="71" t="str">
        <f t="shared" si="300"/>
        <v/>
      </c>
      <c r="AB331" t="str">
        <f>IF(SUMIFS(TrackingTime!H:H,TrackingTime!F:F,Timer!B331,TrackingTime!C:C,Start!$F$3)&gt;0,SUMIFS(TrackingTime!H:H,TrackingTime!F:F,Timer!B331,TrackingTime!C:C,Start!$F$3),"")</f>
        <v/>
      </c>
      <c r="AC331" s="71" t="str">
        <f t="shared" si="303"/>
        <v/>
      </c>
    </row>
    <row r="332" spans="1:29" x14ac:dyDescent="0.25">
      <c r="A332" s="15"/>
      <c r="B332" s="63">
        <f t="shared" si="371"/>
        <v>46207</v>
      </c>
      <c r="C332">
        <f>IFERROR(IF(OR(L332="Fri",L332="Ferie",L332="Syk",L332="Omsorg",B332&lt;Start!$B$7),0,IF(IFERROR(MATCH(B332,Start!A$253:A$273,0),0)&gt;0,VLOOKUP(B332,Start!A$253:F$273,3,FALSE)/100*Start!$B$4,VLOOKUP(WEEKDAY(B332,2),Start!A$240:F$246,4,FALSE))),"")</f>
        <v>0</v>
      </c>
      <c r="D332">
        <f>IFERROR(IF(OR(U332="Fri",U332="Ferie",U332="Syk",U332="Omsorg",B332&lt;Start!$F$7),0,IF(IFERROR(MATCH(B332,Start!A$253:A$273,0),0)&gt;0,VLOOKUP(B332,Start!A$253:F$273,3,FALSE)/100*Start!$F$4,VLOOKUP(WEEKDAY(B332,2),Start!A$240:F$246,6,FALSE))),"")</f>
        <v>0</v>
      </c>
      <c r="E332">
        <f t="shared" ca="1" si="329"/>
        <v>0</v>
      </c>
      <c r="F332">
        <f>IFERROR(IF(YEAR(B332)=Start!$B$1,MONTH(B332),""),"")</f>
        <v>7</v>
      </c>
      <c r="G332" s="64" t="str">
        <f>IFERROR(VLOOKUP(B332,Start!A$111:B$273,2,FALSE),"")</f>
        <v/>
      </c>
      <c r="H332" s="21"/>
      <c r="I332" s="78">
        <v>0.41666666666666669</v>
      </c>
      <c r="J332" s="78">
        <v>0.41666666666666669</v>
      </c>
      <c r="K332" s="1" t="str">
        <f>IF(Start!$B$6="Ja","",IF(((J332-I332)*24)&gt;=5.5,"X",""))</f>
        <v/>
      </c>
      <c r="L332" s="1" t="str">
        <f t="shared" ref="L332:L333" si="372">IF(AND((J332-I332)=0,Z332=""),"",MAX((IF(K332="X",(J332-I332)*24-0.5,(J332-I332)*24)),Z332))</f>
        <v/>
      </c>
      <c r="M332" s="58"/>
      <c r="N332" s="21" t="str">
        <f t="shared" si="367"/>
        <v/>
      </c>
      <c r="O332" s="21" t="str">
        <f t="shared" si="368"/>
        <v/>
      </c>
      <c r="P332" s="2"/>
      <c r="Q332" s="21"/>
      <c r="R332" s="78">
        <v>0.41666666666666669</v>
      </c>
      <c r="S332" s="78">
        <v>0.41666666666666669</v>
      </c>
      <c r="T332" s="1" t="str">
        <f>IF(Start!$B$6="Ja","",IF(((S332-R332)*24)&gt;=5.5,"X",""))</f>
        <v/>
      </c>
      <c r="U332" s="1" t="str">
        <f t="shared" ref="U332:U333" si="373">IF(AND((S332-R332)=0,AB332=""),"",MAX((IF(T332="X",(S332-R332)*24-0.5,(S332-R332)*24)),AB332))</f>
        <v/>
      </c>
      <c r="V332" s="58"/>
      <c r="W332" s="21" t="str">
        <f t="shared" si="369"/>
        <v/>
      </c>
      <c r="X332" s="21" t="str">
        <f t="shared" si="370"/>
        <v/>
      </c>
      <c r="Z332" s="70" t="str">
        <f>IF(SUMIFS(TrackingTime!H:H,TrackingTime!F:F,Timer!B332,TrackingTime!C:C,"Hovedkontoret")&gt;0,SUMIFS(TrackingTime!H:H,TrackingTime!F:F,Timer!B332,TrackingTime!C:C,"Hovedkontoret"),"")</f>
        <v/>
      </c>
      <c r="AA332" s="71" t="str">
        <f t="shared" si="300"/>
        <v/>
      </c>
      <c r="AB332" t="str">
        <f>IF(SUMIFS(TrackingTime!H:H,TrackingTime!F:F,Timer!B332,TrackingTime!C:C,Start!$F$3)&gt;0,SUMIFS(TrackingTime!H:H,TrackingTime!F:F,Timer!B332,TrackingTime!C:C,Start!$F$3),"")</f>
        <v/>
      </c>
      <c r="AC332" s="71" t="str">
        <f t="shared" si="303"/>
        <v/>
      </c>
    </row>
    <row r="333" spans="1:29" x14ac:dyDescent="0.25">
      <c r="A333" s="15"/>
      <c r="B333" s="63">
        <f t="shared" si="371"/>
        <v>46208</v>
      </c>
      <c r="C333">
        <f>IFERROR(IF(OR(L333="Fri",L333="Ferie",L333="Syk",L333="Omsorg",B333&lt;Start!$B$7),0,IF(IFERROR(MATCH(B333,Start!A$253:A$273,0),0)&gt;0,VLOOKUP(B333,Start!A$253:F$273,3,FALSE)/100*Start!$B$4,VLOOKUP(WEEKDAY(B333,2),Start!A$240:F$246,4,FALSE))),"")</f>
        <v>0</v>
      </c>
      <c r="D333">
        <f>IFERROR(IF(OR(U333="Fri",U333="Ferie",U333="Syk",U333="Omsorg",B333&lt;Start!$F$7),0,IF(IFERROR(MATCH(B333,Start!A$253:A$273,0),0)&gt;0,VLOOKUP(B333,Start!A$253:F$273,3,FALSE)/100*Start!$F$4,VLOOKUP(WEEKDAY(B333,2),Start!A$240:F$246,6,FALSE))),"")</f>
        <v>0</v>
      </c>
      <c r="E333">
        <f t="shared" ca="1" si="329"/>
        <v>0</v>
      </c>
      <c r="F333">
        <f>IFERROR(IF(YEAR(B333)=Start!$B$1,MONTH(B333),""),"")</f>
        <v>7</v>
      </c>
      <c r="G333" s="64" t="str">
        <f>IFERROR(VLOOKUP(B333,Start!A$111:B$273,2,FALSE),"")</f>
        <v/>
      </c>
      <c r="H333" s="25"/>
      <c r="I333" s="78">
        <v>0.41666666666666669</v>
      </c>
      <c r="J333" s="78">
        <v>0.41666666666666669</v>
      </c>
      <c r="K333" s="1" t="str">
        <f>IF(Start!$B$6="Ja","",IF(((J333-I333)*24)&gt;=5.5,"X",""))</f>
        <v/>
      </c>
      <c r="L333" s="1" t="str">
        <f t="shared" si="372"/>
        <v/>
      </c>
      <c r="M333" s="58"/>
      <c r="N333" s="21" t="str">
        <f t="shared" si="367"/>
        <v/>
      </c>
      <c r="O333" s="21" t="str">
        <f t="shared" si="368"/>
        <v/>
      </c>
      <c r="Q333" s="25"/>
      <c r="R333" s="78">
        <v>0.41666666666666669</v>
      </c>
      <c r="S333" s="78">
        <v>0.41666666666666669</v>
      </c>
      <c r="T333" s="1" t="str">
        <f>IF(Start!$B$6="Ja","",IF(((S333-R333)*24)&gt;=5.5,"X",""))</f>
        <v/>
      </c>
      <c r="U333" s="1" t="str">
        <f t="shared" si="373"/>
        <v/>
      </c>
      <c r="V333" s="58"/>
      <c r="W333" s="21" t="str">
        <f t="shared" si="369"/>
        <v/>
      </c>
      <c r="X333" s="21" t="str">
        <f t="shared" si="370"/>
        <v/>
      </c>
      <c r="Z333" s="70" t="str">
        <f>IF(SUMIFS(TrackingTime!H:H,TrackingTime!F:F,Timer!B333,TrackingTime!C:C,"Hovedkontoret")&gt;0,SUMIFS(TrackingTime!H:H,TrackingTime!F:F,Timer!B333,TrackingTime!C:C,"Hovedkontoret"),"")</f>
        <v/>
      </c>
      <c r="AA333" s="71" t="str">
        <f t="shared" si="300"/>
        <v/>
      </c>
      <c r="AB333" t="str">
        <f>IF(SUMIFS(TrackingTime!H:H,TrackingTime!F:F,Timer!B333,TrackingTime!C:C,Start!$F$3)&gt;0,SUMIFS(TrackingTime!H:H,TrackingTime!F:F,Timer!B333,TrackingTime!C:C,Start!$F$3),"")</f>
        <v/>
      </c>
      <c r="AC333" s="71" t="str">
        <f t="shared" si="303"/>
        <v/>
      </c>
    </row>
    <row r="334" spans="1:29" x14ac:dyDescent="0.25">
      <c r="A334" s="15"/>
      <c r="B334" s="4" t="s">
        <v>11</v>
      </c>
      <c r="C334" s="24"/>
      <c r="D334" s="24"/>
      <c r="E334" s="24">
        <f t="shared" ca="1" si="329"/>
        <v>0</v>
      </c>
      <c r="F334" s="24" t="str">
        <f>IFERROR(IF(YEAR(B334)=Start!$B$1,MONTH(B334),""),"")</f>
        <v/>
      </c>
      <c r="G334" s="64" t="str">
        <f>IFERROR(VLOOKUP(B334,Start!A$111:B$273,2,FALSE),"")</f>
        <v/>
      </c>
      <c r="H334" s="4"/>
      <c r="I334" s="4"/>
      <c r="J334" s="4"/>
      <c r="K334" s="4"/>
      <c r="L334" s="5">
        <f t="shared" si="345"/>
        <v>0</v>
      </c>
      <c r="N334" s="24"/>
      <c r="O334" s="39">
        <f t="shared" ref="O334" si="374">SUM(O327:O333)</f>
        <v>0</v>
      </c>
      <c r="P334" s="40"/>
      <c r="Q334" s="41"/>
      <c r="R334" s="4"/>
      <c r="S334" s="4"/>
      <c r="T334" s="4"/>
      <c r="U334" s="5">
        <f t="shared" ref="U334" si="375">SUM($U327:$U333)</f>
        <v>0</v>
      </c>
      <c r="V334" s="58"/>
      <c r="W334" s="39"/>
      <c r="X334" s="39">
        <f t="shared" si="319"/>
        <v>0</v>
      </c>
      <c r="Z334" s="70" t="str">
        <f>IF(SUMIFS(TrackingTime!H:H,TrackingTime!F:F,Timer!B334,TrackingTime!C:C,"Hovedkontoret")&gt;0,SUMIFS(TrackingTime!H:H,TrackingTime!F:F,Timer!B334,TrackingTime!C:C,"Hovedkontoret"),"")</f>
        <v/>
      </c>
      <c r="AA334" s="71" t="str">
        <f t="shared" si="300"/>
        <v/>
      </c>
      <c r="AB334" t="str">
        <f>IF(SUMIFS(TrackingTime!H:H,TrackingTime!F:F,Timer!B334,TrackingTime!C:C,Start!$F$3)&gt;0,SUMIFS(TrackingTime!H:H,TrackingTime!F:F,Timer!B334,TrackingTime!C:C,Start!$F$3),"")</f>
        <v/>
      </c>
      <c r="AC334" s="71" t="str">
        <f t="shared" si="303"/>
        <v/>
      </c>
    </row>
    <row r="335" spans="1:29" x14ac:dyDescent="0.25">
      <c r="A335" s="15"/>
      <c r="B335" t="s">
        <v>90</v>
      </c>
      <c r="E335">
        <f t="shared" ca="1" si="329"/>
        <v>0</v>
      </c>
      <c r="F335" t="str">
        <f>IFERROR(IF(YEAR(B335)=Start!$B$1,MONTH(B335),""),"")</f>
        <v/>
      </c>
      <c r="G335" s="64" t="str">
        <f>IFERROR(VLOOKUP(B335,Start!A$111:B$273,2,FALSE),"")</f>
        <v/>
      </c>
      <c r="L335" s="1">
        <f t="shared" si="348"/>
        <v>0</v>
      </c>
      <c r="M335" s="1"/>
      <c r="N335" s="1"/>
      <c r="O335" s="21">
        <f t="shared" ref="O335" si="376">L335</f>
        <v>0</v>
      </c>
      <c r="P335" s="40"/>
      <c r="Q335" s="21"/>
      <c r="U335" s="1">
        <f t="shared" ref="U335" si="377">SUMIFS(D327:D333,F327:F333,"&gt;0")</f>
        <v>0</v>
      </c>
      <c r="V335" s="1"/>
      <c r="W335" s="1"/>
      <c r="X335" s="21">
        <f>U335</f>
        <v>0</v>
      </c>
      <c r="Z335" s="70" t="str">
        <f>IF(SUMIFS(TrackingTime!H:H,TrackingTime!F:F,Timer!B335,TrackingTime!C:C,"Hovedkontoret")&gt;0,SUMIFS(TrackingTime!H:H,TrackingTime!F:F,Timer!B335,TrackingTime!C:C,"Hovedkontoret"),"")</f>
        <v/>
      </c>
      <c r="AA335" s="71" t="str">
        <f t="shared" ref="AA335:AA398" si="378">IFERROR(Z335/24,"")</f>
        <v/>
      </c>
      <c r="AB335" t="str">
        <f>IF(SUMIFS(TrackingTime!H:H,TrackingTime!F:F,Timer!B335,TrackingTime!C:C,Start!$F$3)&gt;0,SUMIFS(TrackingTime!H:H,TrackingTime!F:F,Timer!B335,TrackingTime!C:C,Start!$F$3),"")</f>
        <v/>
      </c>
      <c r="AC335" s="71" t="str">
        <f t="shared" si="303"/>
        <v/>
      </c>
    </row>
    <row r="336" spans="1:29" x14ac:dyDescent="0.25">
      <c r="A336" s="16">
        <f>B333-B327-1</f>
        <v>5</v>
      </c>
      <c r="B336" t="s">
        <v>117</v>
      </c>
      <c r="E336">
        <f t="shared" ca="1" si="329"/>
        <v>0</v>
      </c>
      <c r="F336" t="str">
        <f>IFERROR(IF(YEAR(B336)=Start!$B$1,MONTH(B336),""),"")</f>
        <v/>
      </c>
      <c r="G336" s="64" t="str">
        <f>IFERROR(VLOOKUP(B336,Start!A$111:B$273,2,FALSE),"")</f>
        <v/>
      </c>
      <c r="L336" s="77">
        <f t="shared" ca="1" si="351"/>
        <v>0</v>
      </c>
      <c r="O336" s="21">
        <f t="shared" ref="O336" si="379">O334-O335</f>
        <v>0</v>
      </c>
      <c r="P336" s="21"/>
      <c r="Q336" s="21"/>
      <c r="U336" s="1">
        <f t="shared" ref="U336" ca="1" si="380">U334-U335*(IF(NETWORKDAYS($B327,TODAY())&lt;0,0,IF(NETWORKDAYS($B327,TODAY())&lt;=$A336,NETWORKDAYS($B327,TODAY()),$A336)))/$A336</f>
        <v>0</v>
      </c>
      <c r="V336" s="58"/>
      <c r="W336" s="21"/>
      <c r="X336" s="21">
        <f>X334-X335</f>
        <v>0</v>
      </c>
      <c r="Z336" s="70" t="str">
        <f>IF(SUMIFS(TrackingTime!H:H,TrackingTime!F:F,Timer!B336,TrackingTime!C:C,"Hovedkontoret")&gt;0,SUMIFS(TrackingTime!H:H,TrackingTime!F:F,Timer!B336,TrackingTime!C:C,"Hovedkontoret"),"")</f>
        <v/>
      </c>
      <c r="AA336" s="71" t="str">
        <f t="shared" si="378"/>
        <v/>
      </c>
      <c r="AB336" t="str">
        <f>IF(SUMIFS(TrackingTime!H:H,TrackingTime!F:F,Timer!B336,TrackingTime!C:C,Start!$F$3)&gt;0,SUMIFS(TrackingTime!H:H,TrackingTime!F:F,Timer!B336,TrackingTime!C:C,Start!$F$3),"")</f>
        <v/>
      </c>
      <c r="AC336" s="71" t="str">
        <f t="shared" ref="AC336:AC399" si="381">IFERROR(AB336/24,"")</f>
        <v/>
      </c>
    </row>
    <row r="337" spans="1:29" x14ac:dyDescent="0.25">
      <c r="A337" s="15"/>
      <c r="E337">
        <f t="shared" ca="1" si="329"/>
        <v>1</v>
      </c>
      <c r="F337" t="str">
        <f>IFERROR(IF(YEAR(B337)=Start!$B$1,MONTH(B337),""),"")</f>
        <v/>
      </c>
      <c r="G337" s="64" t="str">
        <f>IFERROR(VLOOKUP(B337,Start!A$111:B$273,2,FALSE),"")</f>
        <v/>
      </c>
      <c r="O337" s="2"/>
      <c r="P337" s="2"/>
      <c r="U337" s="1"/>
      <c r="V337" s="7"/>
      <c r="X337" s="2"/>
      <c r="Z337" s="70" t="str">
        <f>IF(SUMIFS(TrackingTime!H:H,TrackingTime!F:F,Timer!B337,TrackingTime!C:C,"Hovedkontoret")&gt;0,SUMIFS(TrackingTime!H:H,TrackingTime!F:F,Timer!B337,TrackingTime!C:C,"Hovedkontoret"),"")</f>
        <v/>
      </c>
      <c r="AA337" s="71" t="str">
        <f t="shared" si="378"/>
        <v/>
      </c>
      <c r="AB337" t="str">
        <f>IF(SUMIFS(TrackingTime!H:H,TrackingTime!F:F,Timer!B337,TrackingTime!C:C,Start!$F$3)&gt;0,SUMIFS(TrackingTime!H:H,TrackingTime!F:F,Timer!B337,TrackingTime!C:C,Start!$F$3),"")</f>
        <v/>
      </c>
      <c r="AC337" s="71" t="str">
        <f t="shared" si="381"/>
        <v/>
      </c>
    </row>
    <row r="338" spans="1:29" x14ac:dyDescent="0.25">
      <c r="A338" s="2" t="s">
        <v>82</v>
      </c>
      <c r="B338" s="14" t="s">
        <v>83</v>
      </c>
      <c r="E338">
        <f t="shared" ca="1" si="329"/>
        <v>0</v>
      </c>
      <c r="F338" t="str">
        <f>IFERROR(IF(YEAR(B338)=Start!$B$1,MONTH(B338),""),"")</f>
        <v/>
      </c>
      <c r="G338" s="64" t="str">
        <f>IFERROR(VLOOKUP(B338,Start!A$111:B$273,2,FALSE),"")</f>
        <v/>
      </c>
      <c r="H338" s="2" t="s">
        <v>86</v>
      </c>
      <c r="I338" s="2" t="s">
        <v>125</v>
      </c>
      <c r="J338" s="2" t="s">
        <v>126</v>
      </c>
      <c r="K338" s="2" t="s">
        <v>127</v>
      </c>
      <c r="L338" s="3" t="s">
        <v>87</v>
      </c>
      <c r="M338" s="6"/>
      <c r="N338" s="2" t="s">
        <v>88</v>
      </c>
      <c r="O338" s="2" t="s">
        <v>89</v>
      </c>
      <c r="P338" s="2"/>
      <c r="Q338" s="2" t="s">
        <v>86</v>
      </c>
      <c r="R338" s="2" t="s">
        <v>125</v>
      </c>
      <c r="S338" s="2" t="s">
        <v>126</v>
      </c>
      <c r="T338" s="2" t="s">
        <v>127</v>
      </c>
      <c r="U338" s="3" t="s">
        <v>87</v>
      </c>
      <c r="V338" s="6"/>
      <c r="W338" s="2" t="s">
        <v>88</v>
      </c>
      <c r="X338" s="2" t="s">
        <v>89</v>
      </c>
      <c r="Z338" s="70" t="str">
        <f>IF(SUMIFS(TrackingTime!H:H,TrackingTime!F:F,Timer!B338,TrackingTime!C:C,"Hovedkontoret")&gt;0,SUMIFS(TrackingTime!H:H,TrackingTime!F:F,Timer!B338,TrackingTime!C:C,"Hovedkontoret"),"")</f>
        <v/>
      </c>
      <c r="AA338" s="71" t="str">
        <f t="shared" si="378"/>
        <v/>
      </c>
      <c r="AB338" t="str">
        <f>IF(SUMIFS(TrackingTime!H:H,TrackingTime!F:F,Timer!B338,TrackingTime!C:C,Start!$F$3)&gt;0,SUMIFS(TrackingTime!H:H,TrackingTime!F:F,Timer!B338,TrackingTime!C:C,Start!$F$3),"")</f>
        <v/>
      </c>
      <c r="AC338" s="71" t="str">
        <f t="shared" si="381"/>
        <v/>
      </c>
    </row>
    <row r="339" spans="1:29" x14ac:dyDescent="0.25">
      <c r="A339" s="15">
        <f>WEEKNUM(B339,21)</f>
        <v>28</v>
      </c>
      <c r="B339" s="63">
        <f>B333+(DAY(1))</f>
        <v>46209</v>
      </c>
      <c r="C339" t="str">
        <f>IFERROR(IF(OR(L339="Fri",L339="Ferie",L339="Syk",L339="Omsorg",B339&lt;Start!$B$7),0,IF(IFERROR(MATCH(B339,Start!A$253:A$273,0),0)&gt;0,VLOOKUP(B339,Start!A$253:F$273,3,FALSE)/100*Start!$B$4,VLOOKUP(WEEKDAY(B339,2),Start!A$240:F$246,4,FALSE))),"")</f>
        <v/>
      </c>
      <c r="D339" t="str">
        <f>IFERROR(IF(OR(U339="Fri",U339="Ferie",U339="Syk",U339="Omsorg",B339&lt;Start!$F$7),0,IF(IFERROR(MATCH(B339,Start!A$253:A$273,0),0)&gt;0,VLOOKUP(B339,Start!A$253:F$273,3,FALSE)/100*Start!$F$4,VLOOKUP(WEEKDAY(B339,2),Start!A$240:F$246,6,FALSE))),"")</f>
        <v/>
      </c>
      <c r="E339">
        <f t="shared" ca="1" si="329"/>
        <v>0</v>
      </c>
      <c r="F339">
        <f>IFERROR(IF(YEAR(B339)=Start!$B$1,MONTH(B339),""),"")</f>
        <v>7</v>
      </c>
      <c r="G339" s="64" t="str">
        <f>IFERROR(VLOOKUP(B339,Start!A$111:B$273,2,FALSE),"")</f>
        <v/>
      </c>
      <c r="H339" s="21"/>
      <c r="I339" s="78">
        <v>0.33333333333333331</v>
      </c>
      <c r="J339" s="78">
        <v>0.33333333333333331</v>
      </c>
      <c r="K339" s="1" t="str">
        <f>IF(Start!$B$6="Ja","",IF(((J339-I339)*24)&gt;=5.5,"X",""))</f>
        <v/>
      </c>
      <c r="L339" s="1" t="str">
        <f>IF(_xlfn.IFNA(MATCH($A339,Start!$H$3:$H$11,0),0)&gt;0,"Ferie",IFERROR(IF(VLOOKUP(B339,Start!A$165:B$234,2,FALSE)&gt;0,"Fri",0),IF(AND((J339-I339)=0,Z339=""),"",MAX((IF(K339="X",(J339-I339)*24-0.5,(J339-I339)*24)),Z339))))</f>
        <v/>
      </c>
      <c r="M339" s="58"/>
      <c r="N339" s="21" t="str">
        <f t="shared" ref="N339:N345" si="382">IF(H339=0,"",H339)</f>
        <v/>
      </c>
      <c r="O339" s="21" t="str">
        <f t="shared" ref="O339:O345" si="383">IF(L339=0,"",L339)</f>
        <v/>
      </c>
      <c r="P339" s="2"/>
      <c r="Q339" s="21"/>
      <c r="R339" s="78">
        <v>0.33333333333333331</v>
      </c>
      <c r="S339" s="78">
        <v>0.33333333333333331</v>
      </c>
      <c r="T339" s="1" t="str">
        <f>IF(Start!$B$6="Ja","",IF(((S339-R339)*24)&gt;=5.5,"X",""))</f>
        <v/>
      </c>
      <c r="U339" s="1" t="str">
        <f>IF(_xlfn.IFNA(MATCH($A$15,Start!$H$3:$H$11,0),0)&gt;0,"Ferie",(IF(L339="fri","Fri",(IF(L339="syk","Syk",IF(L339="Ferie","Ferie",IF(AND((S339-R339)=0,AB339=""),"",MAX((IF(T339="X",(S339-R339)*24-0.5,(S339-R339)*24)),AB339))))))))</f>
        <v/>
      </c>
      <c r="V339" s="58"/>
      <c r="W339" s="21" t="str">
        <f t="shared" ref="W339:W345" si="384">IF(Q339=0,"",Q339)</f>
        <v/>
      </c>
      <c r="X339" s="21" t="str">
        <f t="shared" ref="X339:X345" si="385">IF(U339=0,"",U339)</f>
        <v/>
      </c>
      <c r="Z339" s="70" t="str">
        <f>IF(SUMIFS(TrackingTime!H:H,TrackingTime!F:F,Timer!B339,TrackingTime!C:C,"Hovedkontoret")&gt;0,SUMIFS(TrackingTime!H:H,TrackingTime!F:F,Timer!B339,TrackingTime!C:C,"Hovedkontoret"),"")</f>
        <v/>
      </c>
      <c r="AA339" s="71" t="str">
        <f t="shared" si="378"/>
        <v/>
      </c>
      <c r="AB339" t="str">
        <f>IF(SUMIFS(TrackingTime!H:H,TrackingTime!F:F,Timer!B339,TrackingTime!C:C,Start!$F$3)&gt;0,SUMIFS(TrackingTime!H:H,TrackingTime!F:F,Timer!B339,TrackingTime!C:C,Start!$F$3),"")</f>
        <v/>
      </c>
      <c r="AC339" s="71" t="str">
        <f t="shared" si="381"/>
        <v/>
      </c>
    </row>
    <row r="340" spans="1:29" x14ac:dyDescent="0.25">
      <c r="A340" s="15"/>
      <c r="B340" s="63">
        <f t="shared" ref="B340:B345" si="386">B339+DAY(1)</f>
        <v>46210</v>
      </c>
      <c r="C340" t="str">
        <f>IFERROR(IF(OR(L340="Fri",L340="Ferie",L340="Syk",L340="Omsorg",B340&lt;Start!$B$7),0,IF(IFERROR(MATCH(B340,Start!A$253:A$273,0),0)&gt;0,VLOOKUP(B340,Start!A$253:F$273,3,FALSE)/100*Start!$B$4,VLOOKUP(WEEKDAY(B340,2),Start!A$240:F$246,4,FALSE))),"")</f>
        <v/>
      </c>
      <c r="D340" t="str">
        <f>IFERROR(IF(OR(U340="Fri",U340="Ferie",U340="Syk",U340="Omsorg",B340&lt;Start!$F$7),0,IF(IFERROR(MATCH(B340,Start!A$253:A$273,0),0)&gt;0,VLOOKUP(B340,Start!A$253:F$273,3,FALSE)/100*Start!$F$4,VLOOKUP(WEEKDAY(B340,2),Start!A$240:F$246,6,FALSE))),"")</f>
        <v/>
      </c>
      <c r="E340">
        <f t="shared" ca="1" si="329"/>
        <v>0</v>
      </c>
      <c r="F340">
        <f>IFERROR(IF(YEAR(B340)=Start!$B$1,MONTH(B340),""),"")</f>
        <v>7</v>
      </c>
      <c r="G340" s="64" t="str">
        <f>IFERROR(VLOOKUP(B340,Start!A$111:B$273,2,FALSE),"")</f>
        <v/>
      </c>
      <c r="H340" s="21"/>
      <c r="I340" s="78">
        <v>0.33333333333333331</v>
      </c>
      <c r="J340" s="78">
        <v>0.33333333333333331</v>
      </c>
      <c r="K340" s="1" t="str">
        <f>IF(Start!$B$6="Ja","",IF(((J340-I340)*24)&gt;=5.5,"X",""))</f>
        <v/>
      </c>
      <c r="L340" s="1" t="str">
        <f>IF(_xlfn.IFNA(MATCH($A339,Start!$H$3:$H$11,0),0)&gt;0,"Ferie",IFERROR(IF(VLOOKUP($B340,Start!$A$165:$B$234,2,FALSE)&gt;0,"Fri",0),IF(AND((J340-I340)=0,Z340=""),"",MAX((IF(K340="X",(J340-I340)*24-0.5,(J340-I340)*24)),Z340))))</f>
        <v/>
      </c>
      <c r="M340" s="58"/>
      <c r="N340" s="21" t="str">
        <f t="shared" si="382"/>
        <v/>
      </c>
      <c r="O340" s="21" t="str">
        <f t="shared" si="383"/>
        <v/>
      </c>
      <c r="P340" s="2"/>
      <c r="Q340" s="21"/>
      <c r="R340" s="78">
        <v>0.33333333333333331</v>
      </c>
      <c r="S340" s="78">
        <v>0.33333333333333331</v>
      </c>
      <c r="T340" s="1" t="str">
        <f>IF(Start!$B$6="Ja","",IF(((S340-R340)*24)&gt;=5.5,"X",""))</f>
        <v/>
      </c>
      <c r="U340" s="1" t="str">
        <f>IF(_xlfn.IFNA(MATCH($A$15,Start!$H$3:$H$11,0),0)&gt;0,"Ferie",(IF(L340="fri","Fri",(IF(L340="syk","Syk",IF(L340="Ferie","Ferie",IF(AND((S340-R340)=0,AB340=""),"",MAX((IF(T340="X",(S340-R340)*24-0.5,(S340-R340)*24)),AB340))))))))</f>
        <v/>
      </c>
      <c r="V340" s="58"/>
      <c r="W340" s="21" t="str">
        <f t="shared" si="384"/>
        <v/>
      </c>
      <c r="X340" s="21" t="str">
        <f t="shared" si="385"/>
        <v/>
      </c>
      <c r="Z340" s="70" t="str">
        <f>IF(SUMIFS(TrackingTime!H:H,TrackingTime!F:F,Timer!B340,TrackingTime!C:C,"Hovedkontoret")&gt;0,SUMIFS(TrackingTime!H:H,TrackingTime!F:F,Timer!B340,TrackingTime!C:C,"Hovedkontoret"),"")</f>
        <v/>
      </c>
      <c r="AA340" s="71" t="str">
        <f t="shared" si="378"/>
        <v/>
      </c>
      <c r="AB340" t="str">
        <f>IF(SUMIFS(TrackingTime!H:H,TrackingTime!F:F,Timer!B340,TrackingTime!C:C,Start!$F$3)&gt;0,SUMIFS(TrackingTime!H:H,TrackingTime!F:F,Timer!B340,TrackingTime!C:C,Start!$F$3),"")</f>
        <v/>
      </c>
      <c r="AC340" s="71" t="str">
        <f t="shared" si="381"/>
        <v/>
      </c>
    </row>
    <row r="341" spans="1:29" x14ac:dyDescent="0.25">
      <c r="A341" s="15"/>
      <c r="B341" s="63">
        <f t="shared" si="386"/>
        <v>46211</v>
      </c>
      <c r="C341" t="str">
        <f>IFERROR(IF(OR(L341="Fri",L341="Ferie",L341="Syk",L341="Omsorg",B341&lt;Start!$B$7),0,IF(IFERROR(MATCH(B341,Start!A$253:A$273,0),0)&gt;0,VLOOKUP(B341,Start!A$253:F$273,3,FALSE)/100*Start!$B$4,VLOOKUP(WEEKDAY(B341,2),Start!A$240:F$246,4,FALSE))),"")</f>
        <v/>
      </c>
      <c r="D341" t="str">
        <f>IFERROR(IF(OR(U341="Fri",U341="Ferie",U341="Syk",U341="Omsorg",B341&lt;Start!$F$7),0,IF(IFERROR(MATCH(B341,Start!A$253:A$273,0),0)&gt;0,VLOOKUP(B341,Start!A$253:F$273,3,FALSE)/100*Start!$F$4,VLOOKUP(WEEKDAY(B341,2),Start!A$240:F$246,6,FALSE))),"")</f>
        <v/>
      </c>
      <c r="E341">
        <f t="shared" ca="1" si="329"/>
        <v>0</v>
      </c>
      <c r="F341">
        <f>IFERROR(IF(YEAR(B341)=Start!$B$1,MONTH(B341),""),"")</f>
        <v>7</v>
      </c>
      <c r="G341" s="64" t="str">
        <f>IFERROR(VLOOKUP(B341,Start!A$111:B$273,2,FALSE),"")</f>
        <v/>
      </c>
      <c r="H341" s="21"/>
      <c r="I341" s="78">
        <v>0.33333333333333331</v>
      </c>
      <c r="J341" s="78">
        <v>0.33333333333333331</v>
      </c>
      <c r="K341" s="1" t="str">
        <f>IF(Start!$B$6="Ja","",IF(((J341-I341)*24)&gt;=5.5,"X",""))</f>
        <v/>
      </c>
      <c r="L341" s="1" t="str">
        <f>IF(_xlfn.IFNA(MATCH($A339,Start!$H$3:$H$11,0),0)&gt;0,"Ferie",IFERROR(IF(VLOOKUP(B341,Start!A$165:B$234,2,FALSE)&gt;0,"Fri",0),IF(AND((J341-I341)=0,Z341=""),"",MAX((IF(K341="X",(J341-I341)*24-0.5,(J341-I341)*24)),Z341))))</f>
        <v/>
      </c>
      <c r="M341" s="58"/>
      <c r="N341" s="21" t="str">
        <f t="shared" si="382"/>
        <v/>
      </c>
      <c r="O341" s="21" t="str">
        <f t="shared" si="383"/>
        <v/>
      </c>
      <c r="P341" s="2"/>
      <c r="Q341" s="21"/>
      <c r="R341" s="78">
        <v>0.33333333333333331</v>
      </c>
      <c r="S341" s="78">
        <v>0.33333333333333331</v>
      </c>
      <c r="T341" s="1" t="str">
        <f>IF(Start!$B$6="Ja","",IF(((S341-R341)*24)&gt;=5.5,"X",""))</f>
        <v/>
      </c>
      <c r="U341" s="1" t="str">
        <f>IF(_xlfn.IFNA(MATCH($A$15,Start!$H$3:$H$11,0),0)&gt;0,"Ferie",(IF(L341="fri","Fri",(IF(L341="syk","Syk",IF(L341="Ferie","Ferie",IF(AND((S341-R341)=0,AB341=""),"",MAX((IF(T341="X",(S341-R341)*24-0.5,(S341-R341)*24)),AB341))))))))</f>
        <v/>
      </c>
      <c r="V341" s="58"/>
      <c r="W341" s="21" t="str">
        <f t="shared" si="384"/>
        <v/>
      </c>
      <c r="X341" s="21" t="str">
        <f t="shared" si="385"/>
        <v/>
      </c>
      <c r="Z341" s="70" t="str">
        <f>IF(SUMIFS(TrackingTime!H:H,TrackingTime!F:F,Timer!B341,TrackingTime!C:C,"Hovedkontoret")&gt;0,SUMIFS(TrackingTime!H:H,TrackingTime!F:F,Timer!B341,TrackingTime!C:C,"Hovedkontoret"),"")</f>
        <v/>
      </c>
      <c r="AA341" s="71" t="str">
        <f t="shared" si="378"/>
        <v/>
      </c>
      <c r="AB341" t="str">
        <f>IF(SUMIFS(TrackingTime!H:H,TrackingTime!F:F,Timer!B341,TrackingTime!C:C,Start!$F$3)&gt;0,SUMIFS(TrackingTime!H:H,TrackingTime!F:F,Timer!B341,TrackingTime!C:C,Start!$F$3),"")</f>
        <v/>
      </c>
      <c r="AC341" s="71" t="str">
        <f t="shared" si="381"/>
        <v/>
      </c>
    </row>
    <row r="342" spans="1:29" x14ac:dyDescent="0.25">
      <c r="A342" s="15"/>
      <c r="B342" s="63">
        <f t="shared" si="386"/>
        <v>46212</v>
      </c>
      <c r="C342" t="str">
        <f>IFERROR(IF(OR(L342="Fri",L342="Ferie",L342="Syk",L342="Omsorg",B342&lt;Start!$B$7),0,IF(IFERROR(MATCH(B342,Start!A$253:A$273,0),0)&gt;0,VLOOKUP(B342,Start!A$253:F$273,3,FALSE)/100*Start!$B$4,VLOOKUP(WEEKDAY(B342,2),Start!A$240:F$246,4,FALSE))),"")</f>
        <v/>
      </c>
      <c r="D342" t="str">
        <f>IFERROR(IF(OR(U342="Fri",U342="Ferie",U342="Syk",U342="Omsorg",B342&lt;Start!$F$7),0,IF(IFERROR(MATCH(B342,Start!A$253:A$273,0),0)&gt;0,VLOOKUP(B342,Start!A$253:F$273,3,FALSE)/100*Start!$F$4,VLOOKUP(WEEKDAY(B342,2),Start!A$240:F$246,6,FALSE))),"")</f>
        <v/>
      </c>
      <c r="E342">
        <f t="shared" ca="1" si="329"/>
        <v>0</v>
      </c>
      <c r="F342">
        <f>IFERROR(IF(YEAR(B342)=Start!$B$1,MONTH(B342),""),"")</f>
        <v>7</v>
      </c>
      <c r="G342" s="64" t="str">
        <f>IFERROR(VLOOKUP(B342,Start!A$111:B$273,2,FALSE),"")</f>
        <v/>
      </c>
      <c r="H342" s="21"/>
      <c r="I342" s="78">
        <v>0.33333333333333331</v>
      </c>
      <c r="J342" s="78">
        <v>0.33333333333333331</v>
      </c>
      <c r="K342" s="1" t="str">
        <f>IF(Start!$B$6="Ja","",IF(((J342-I342)*24)&gt;=5.5,"X",""))</f>
        <v/>
      </c>
      <c r="L342" s="1" t="str">
        <f>IF(_xlfn.IFNA(MATCH($A339,Start!$H$3:$H$11,0),0)&gt;0,"Ferie",IFERROR(IF(VLOOKUP(B342,Start!A$165:B$234,2,FALSE)&gt;0,"Fri",0),IF(AND((J342-I342)=0,Z342=""),"",MAX((IF(K342="X",(J342-I342)*24-0.5,(J342-I342)*24)),Z342))))</f>
        <v/>
      </c>
      <c r="M342" s="58"/>
      <c r="N342" s="21" t="str">
        <f t="shared" si="382"/>
        <v/>
      </c>
      <c r="O342" s="21" t="str">
        <f t="shared" si="383"/>
        <v/>
      </c>
      <c r="P342" s="2"/>
      <c r="Q342" s="21"/>
      <c r="R342" s="78">
        <v>0.33333333333333331</v>
      </c>
      <c r="S342" s="78">
        <v>0.33333333333333331</v>
      </c>
      <c r="T342" s="1" t="str">
        <f>IF(Start!$B$6="Ja","",IF(((S342-R342)*24)&gt;=5.5,"X",""))</f>
        <v/>
      </c>
      <c r="U342" s="1" t="str">
        <f>IF(_xlfn.IFNA(MATCH($A$15,Start!$H$3:$H$11,0),0)&gt;0,"Ferie",(IF(L342="fri","Fri",(IF(L342="syk","Syk",IF(L342="Ferie","Ferie",IF(AND((S342-R342)=0,AB342=""),"",MAX((IF(T342="X",(S342-R342)*24-0.5,(S342-R342)*24)),AB342))))))))</f>
        <v/>
      </c>
      <c r="V342" s="58"/>
      <c r="W342" s="21" t="str">
        <f t="shared" si="384"/>
        <v/>
      </c>
      <c r="X342" s="21" t="str">
        <f t="shared" si="385"/>
        <v/>
      </c>
      <c r="Z342" s="70" t="str">
        <f>IF(SUMIFS(TrackingTime!H:H,TrackingTime!F:F,Timer!B342,TrackingTime!C:C,"Hovedkontoret")&gt;0,SUMIFS(TrackingTime!H:H,TrackingTime!F:F,Timer!B342,TrackingTime!C:C,"Hovedkontoret"),"")</f>
        <v/>
      </c>
      <c r="AA342" s="71" t="str">
        <f t="shared" si="378"/>
        <v/>
      </c>
      <c r="AB342" t="str">
        <f>IF(SUMIFS(TrackingTime!H:H,TrackingTime!F:F,Timer!B342,TrackingTime!C:C,Start!$F$3)&gt;0,SUMIFS(TrackingTime!H:H,TrackingTime!F:F,Timer!B342,TrackingTime!C:C,Start!$F$3),"")</f>
        <v/>
      </c>
      <c r="AC342" s="71" t="str">
        <f t="shared" si="381"/>
        <v/>
      </c>
    </row>
    <row r="343" spans="1:29" x14ac:dyDescent="0.25">
      <c r="A343" s="15"/>
      <c r="B343" s="63">
        <f t="shared" si="386"/>
        <v>46213</v>
      </c>
      <c r="C343" t="str">
        <f>IFERROR(IF(OR(L343="Fri",L343="Ferie",L343="Syk",L343="Omsorg",B343&lt;Start!$B$7),0,IF(IFERROR(MATCH(B343,Start!A$253:A$273,0),0)&gt;0,VLOOKUP(B343,Start!A$253:F$273,3,FALSE)/100*Start!$B$4,VLOOKUP(WEEKDAY(B343,2),Start!A$240:F$246,4,FALSE))),"")</f>
        <v/>
      </c>
      <c r="D343" t="str">
        <f>IFERROR(IF(OR(U343="Fri",U343="Ferie",U343="Syk",U343="Omsorg",B343&lt;Start!$F$7),0,IF(IFERROR(MATCH(B343,Start!A$253:A$273,0),0)&gt;0,VLOOKUP(B343,Start!A$253:F$273,3,FALSE)/100*Start!$F$4,VLOOKUP(WEEKDAY(B343,2),Start!A$240:F$246,6,FALSE))),"")</f>
        <v/>
      </c>
      <c r="E343">
        <f t="shared" ca="1" si="329"/>
        <v>0</v>
      </c>
      <c r="F343">
        <f>IFERROR(IF(YEAR(B343)=Start!$B$1,MONTH(B343),""),"")</f>
        <v>7</v>
      </c>
      <c r="G343" s="64" t="str">
        <f>IFERROR(VLOOKUP(B343,Start!A$111:B$273,2,FALSE),"")</f>
        <v/>
      </c>
      <c r="H343" s="21"/>
      <c r="I343" s="78">
        <v>0.33333333333333331</v>
      </c>
      <c r="J343" s="78">
        <v>0.33333333333333331</v>
      </c>
      <c r="K343" s="1" t="str">
        <f>IF(Start!$B$6="Ja","",IF(((J343-I343)*24)&gt;=5.5,"X",""))</f>
        <v/>
      </c>
      <c r="L343" s="1" t="str">
        <f>IF(_xlfn.IFNA(MATCH($A339,Start!$H$3:$H$11,0),0)&gt;0,"Ferie",IFERROR(IF(VLOOKUP(B343,Start!A$165:B$234,2,FALSE)&gt;0,"Fri",0),IF(AND((J343-I343)=0,Z343=""),"",MAX((IF(K343="X",(J343-I343)*24-0.5,(J343-I343)*24)),Z343))))</f>
        <v/>
      </c>
      <c r="M343" s="58"/>
      <c r="N343" s="21" t="str">
        <f t="shared" si="382"/>
        <v/>
      </c>
      <c r="O343" s="21" t="str">
        <f t="shared" si="383"/>
        <v/>
      </c>
      <c r="P343" s="2"/>
      <c r="Q343" s="21"/>
      <c r="R343" s="78">
        <v>0.33333333333333331</v>
      </c>
      <c r="S343" s="78">
        <v>0.33333333333333331</v>
      </c>
      <c r="T343" s="1" t="str">
        <f>IF(Start!$B$6="Ja","",IF(((S343-R343)*24)&gt;=5.5,"X",""))</f>
        <v/>
      </c>
      <c r="U343" s="1" t="str">
        <f>IF(_xlfn.IFNA(MATCH($A$15,Start!$H$3:$H$11,0),0)&gt;0,"Ferie",(IF(L343="fri","Fri",(IF(L343="syk","Syk",IF(L343="Ferie","Ferie",IF(AND((S343-R343)=0,AB343=""),"",MAX((IF(T343="X",(S343-R343)*24-0.5,(S343-R343)*24)),AB343))))))))</f>
        <v/>
      </c>
      <c r="V343" s="58"/>
      <c r="W343" s="21" t="str">
        <f t="shared" si="384"/>
        <v/>
      </c>
      <c r="X343" s="21" t="str">
        <f t="shared" si="385"/>
        <v/>
      </c>
      <c r="Z343" s="70" t="str">
        <f>IF(SUMIFS(TrackingTime!H:H,TrackingTime!F:F,Timer!B343,TrackingTime!C:C,"Hovedkontoret")&gt;0,SUMIFS(TrackingTime!H:H,TrackingTime!F:F,Timer!B343,TrackingTime!C:C,"Hovedkontoret"),"")</f>
        <v/>
      </c>
      <c r="AA343" s="71" t="str">
        <f t="shared" si="378"/>
        <v/>
      </c>
      <c r="AB343" t="str">
        <f>IF(SUMIFS(TrackingTime!H:H,TrackingTime!F:F,Timer!B343,TrackingTime!C:C,Start!$F$3)&gt;0,SUMIFS(TrackingTime!H:H,TrackingTime!F:F,Timer!B343,TrackingTime!C:C,Start!$F$3),"")</f>
        <v/>
      </c>
      <c r="AC343" s="71" t="str">
        <f t="shared" si="381"/>
        <v/>
      </c>
    </row>
    <row r="344" spans="1:29" x14ac:dyDescent="0.25">
      <c r="A344" s="15"/>
      <c r="B344" s="63">
        <f t="shared" si="386"/>
        <v>46214</v>
      </c>
      <c r="C344">
        <f>IFERROR(IF(OR(L344="Fri",L344="Ferie",L344="Syk",L344="Omsorg",B344&lt;Start!$B$7),0,IF(IFERROR(MATCH(B344,Start!A$253:A$273,0),0)&gt;0,VLOOKUP(B344,Start!A$253:F$273,3,FALSE)/100*Start!$B$4,VLOOKUP(WEEKDAY(B344,2),Start!A$240:F$246,4,FALSE))),"")</f>
        <v>0</v>
      </c>
      <c r="D344">
        <f>IFERROR(IF(OR(U344="Fri",U344="Ferie",U344="Syk",U344="Omsorg",B344&lt;Start!$F$7),0,IF(IFERROR(MATCH(B344,Start!A$253:A$273,0),0)&gt;0,VLOOKUP(B344,Start!A$253:F$273,3,FALSE)/100*Start!$F$4,VLOOKUP(WEEKDAY(B344,2),Start!A$240:F$246,6,FALSE))),"")</f>
        <v>0</v>
      </c>
      <c r="E344">
        <f t="shared" ca="1" si="329"/>
        <v>0</v>
      </c>
      <c r="F344">
        <f>IFERROR(IF(YEAR(B344)=Start!$B$1,MONTH(B344),""),"")</f>
        <v>7</v>
      </c>
      <c r="G344" s="64" t="str">
        <f>IFERROR(VLOOKUP(B344,Start!A$111:B$273,2,FALSE),"")</f>
        <v/>
      </c>
      <c r="H344" s="21"/>
      <c r="I344" s="78">
        <v>0.41666666666666669</v>
      </c>
      <c r="J344" s="78">
        <v>0.41666666666666669</v>
      </c>
      <c r="K344" s="1" t="str">
        <f>IF(Start!$B$6="Ja","",IF(((J344-I344)*24)&gt;=5.5,"X",""))</f>
        <v/>
      </c>
      <c r="L344" s="1" t="str">
        <f t="shared" ref="L344:L345" si="387">IF(AND((J344-I344)=0,Z344=""),"",MAX((IF(K344="X",(J344-I344)*24-0.5,(J344-I344)*24)),Z344))</f>
        <v/>
      </c>
      <c r="M344" s="58"/>
      <c r="N344" s="21" t="str">
        <f t="shared" si="382"/>
        <v/>
      </c>
      <c r="O344" s="21" t="str">
        <f t="shared" si="383"/>
        <v/>
      </c>
      <c r="P344" s="2"/>
      <c r="Q344" s="21"/>
      <c r="R344" s="78">
        <v>0.41666666666666669</v>
      </c>
      <c r="S344" s="78">
        <v>0.41666666666666669</v>
      </c>
      <c r="T344" s="1" t="str">
        <f>IF(Start!$B$6="Ja","",IF(((S344-R344)*24)&gt;=5.5,"X",""))</f>
        <v/>
      </c>
      <c r="U344" s="1" t="str">
        <f t="shared" ref="U344:U345" si="388">IF(AND((S344-R344)=0,AB344=""),"",MAX((IF(T344="X",(S344-R344)*24-0.5,(S344-R344)*24)),AB344))</f>
        <v/>
      </c>
      <c r="V344" s="58"/>
      <c r="W344" s="21" t="str">
        <f t="shared" si="384"/>
        <v/>
      </c>
      <c r="X344" s="21" t="str">
        <f t="shared" si="385"/>
        <v/>
      </c>
      <c r="Z344" s="70" t="str">
        <f>IF(SUMIFS(TrackingTime!H:H,TrackingTime!F:F,Timer!B344,TrackingTime!C:C,"Hovedkontoret")&gt;0,SUMIFS(TrackingTime!H:H,TrackingTime!F:F,Timer!B344,TrackingTime!C:C,"Hovedkontoret"),"")</f>
        <v/>
      </c>
      <c r="AA344" s="71" t="str">
        <f t="shared" si="378"/>
        <v/>
      </c>
      <c r="AB344" t="str">
        <f>IF(SUMIFS(TrackingTime!H:H,TrackingTime!F:F,Timer!B344,TrackingTime!C:C,Start!$F$3)&gt;0,SUMIFS(TrackingTime!H:H,TrackingTime!F:F,Timer!B344,TrackingTime!C:C,Start!$F$3),"")</f>
        <v/>
      </c>
      <c r="AC344" s="71" t="str">
        <f t="shared" si="381"/>
        <v/>
      </c>
    </row>
    <row r="345" spans="1:29" x14ac:dyDescent="0.25">
      <c r="A345" s="15"/>
      <c r="B345" s="63">
        <f t="shared" si="386"/>
        <v>46215</v>
      </c>
      <c r="C345">
        <f>IFERROR(IF(OR(L345="Fri",L345="Ferie",L345="Syk",L345="Omsorg",B345&lt;Start!$B$7),0,IF(IFERROR(MATCH(B345,Start!A$253:A$273,0),0)&gt;0,VLOOKUP(B345,Start!A$253:F$273,3,FALSE)/100*Start!$B$4,VLOOKUP(WEEKDAY(B345,2),Start!A$240:F$246,4,FALSE))),"")</f>
        <v>0</v>
      </c>
      <c r="D345">
        <f>IFERROR(IF(OR(U345="Fri",U345="Ferie",U345="Syk",U345="Omsorg",B345&lt;Start!$F$7),0,IF(IFERROR(MATCH(B345,Start!A$253:A$273,0),0)&gt;0,VLOOKUP(B345,Start!A$253:F$273,3,FALSE)/100*Start!$F$4,VLOOKUP(WEEKDAY(B345,2),Start!A$240:F$246,6,FALSE))),"")</f>
        <v>0</v>
      </c>
      <c r="E345">
        <f t="shared" ca="1" si="329"/>
        <v>0</v>
      </c>
      <c r="F345">
        <f>IFERROR(IF(YEAR(B345)=Start!$B$1,MONTH(B345),""),"")</f>
        <v>7</v>
      </c>
      <c r="G345" s="64" t="str">
        <f>IFERROR(VLOOKUP(B345,Start!A$111:B$273,2,FALSE),"")</f>
        <v/>
      </c>
      <c r="H345" s="25"/>
      <c r="I345" s="78">
        <v>0.41666666666666669</v>
      </c>
      <c r="J345" s="78">
        <v>0.41666666666666669</v>
      </c>
      <c r="K345" s="1" t="str">
        <f>IF(Start!$B$6="Ja","",IF(((J345-I345)*24)&gt;=5.5,"X",""))</f>
        <v/>
      </c>
      <c r="L345" s="1" t="str">
        <f t="shared" si="387"/>
        <v/>
      </c>
      <c r="M345" s="58"/>
      <c r="N345" s="21" t="str">
        <f t="shared" si="382"/>
        <v/>
      </c>
      <c r="O345" s="21" t="str">
        <f t="shared" si="383"/>
        <v/>
      </c>
      <c r="Q345" s="25"/>
      <c r="R345" s="78">
        <v>0.41666666666666669</v>
      </c>
      <c r="S345" s="78">
        <v>0.41666666666666669</v>
      </c>
      <c r="T345" s="1" t="str">
        <f>IF(Start!$B$6="Ja","",IF(((S345-R345)*24)&gt;=5.5,"X",""))</f>
        <v/>
      </c>
      <c r="U345" s="1" t="str">
        <f t="shared" si="388"/>
        <v/>
      </c>
      <c r="V345" s="58"/>
      <c r="W345" s="21" t="str">
        <f t="shared" si="384"/>
        <v/>
      </c>
      <c r="X345" s="21" t="str">
        <f t="shared" si="385"/>
        <v/>
      </c>
      <c r="Z345" s="70" t="str">
        <f>IF(SUMIFS(TrackingTime!H:H,TrackingTime!F:F,Timer!B345,TrackingTime!C:C,"Hovedkontoret")&gt;0,SUMIFS(TrackingTime!H:H,TrackingTime!F:F,Timer!B345,TrackingTime!C:C,"Hovedkontoret"),"")</f>
        <v/>
      </c>
      <c r="AA345" s="71" t="str">
        <f t="shared" si="378"/>
        <v/>
      </c>
      <c r="AB345" t="str">
        <f>IF(SUMIFS(TrackingTime!H:H,TrackingTime!F:F,Timer!B345,TrackingTime!C:C,Start!$F$3)&gt;0,SUMIFS(TrackingTime!H:H,TrackingTime!F:F,Timer!B345,TrackingTime!C:C,Start!$F$3),"")</f>
        <v/>
      </c>
      <c r="AC345" s="71" t="str">
        <f t="shared" si="381"/>
        <v/>
      </c>
    </row>
    <row r="346" spans="1:29" x14ac:dyDescent="0.25">
      <c r="A346" s="15"/>
      <c r="B346" s="4" t="s">
        <v>11</v>
      </c>
      <c r="C346" s="24"/>
      <c r="D346" s="24"/>
      <c r="E346" s="24">
        <f t="shared" ca="1" si="329"/>
        <v>0</v>
      </c>
      <c r="F346" s="24" t="str">
        <f>IFERROR(IF(YEAR(B346)=Start!$B$1,MONTH(B346),""),"")</f>
        <v/>
      </c>
      <c r="G346" s="64" t="str">
        <f>IFERROR(VLOOKUP(B346,Start!A$111:B$273,2,FALSE),"")</f>
        <v/>
      </c>
      <c r="H346" s="4"/>
      <c r="I346" s="4"/>
      <c r="J346" s="4"/>
      <c r="K346" s="4"/>
      <c r="L346" s="5">
        <f t="shared" si="345"/>
        <v>0</v>
      </c>
      <c r="N346" s="24"/>
      <c r="O346" s="39">
        <f t="shared" ref="O346" si="389">SUM(O339:O345)</f>
        <v>0</v>
      </c>
      <c r="P346" s="40"/>
      <c r="Q346" s="41"/>
      <c r="R346" s="4"/>
      <c r="S346" s="4"/>
      <c r="T346" s="4"/>
      <c r="U346" s="5">
        <f t="shared" ref="U346" si="390">SUM($U339:$U345)</f>
        <v>0</v>
      </c>
      <c r="V346" s="58"/>
      <c r="W346" s="39"/>
      <c r="X346" s="39">
        <f t="shared" ref="X346:X394" si="391">SUM(X339:X345)</f>
        <v>0</v>
      </c>
      <c r="Z346" s="70" t="str">
        <f>IF(SUMIFS(TrackingTime!H:H,TrackingTime!F:F,Timer!B346,TrackingTime!C:C,"Hovedkontoret")&gt;0,SUMIFS(TrackingTime!H:H,TrackingTime!F:F,Timer!B346,TrackingTime!C:C,"Hovedkontoret"),"")</f>
        <v/>
      </c>
      <c r="AA346" s="71" t="str">
        <f t="shared" si="378"/>
        <v/>
      </c>
      <c r="AB346" t="str">
        <f>IF(SUMIFS(TrackingTime!H:H,TrackingTime!F:F,Timer!B346,TrackingTime!C:C,Start!$F$3)&gt;0,SUMIFS(TrackingTime!H:H,TrackingTime!F:F,Timer!B346,TrackingTime!C:C,Start!$F$3),"")</f>
        <v/>
      </c>
      <c r="AC346" s="71" t="str">
        <f t="shared" si="381"/>
        <v/>
      </c>
    </row>
    <row r="347" spans="1:29" x14ac:dyDescent="0.25">
      <c r="A347" s="15"/>
      <c r="B347" t="s">
        <v>90</v>
      </c>
      <c r="E347">
        <f t="shared" ca="1" si="329"/>
        <v>0</v>
      </c>
      <c r="F347" t="str">
        <f>IFERROR(IF(YEAR(B347)=Start!$B$1,MONTH(B347),""),"")</f>
        <v/>
      </c>
      <c r="G347" s="64" t="str">
        <f>IFERROR(VLOOKUP(B347,Start!A$111:B$273,2,FALSE),"")</f>
        <v/>
      </c>
      <c r="L347" s="1">
        <f t="shared" si="348"/>
        <v>0</v>
      </c>
      <c r="M347" s="1"/>
      <c r="N347" s="1"/>
      <c r="O347" s="21">
        <f t="shared" ref="O347" si="392">L347</f>
        <v>0</v>
      </c>
      <c r="P347" s="40"/>
      <c r="Q347" s="21"/>
      <c r="U347" s="1">
        <f t="shared" ref="U347" si="393">SUMIFS(D339:D345,F339:F345,"&gt;0")</f>
        <v>0</v>
      </c>
      <c r="V347" s="1"/>
      <c r="W347" s="1"/>
      <c r="X347" s="21">
        <f>U347</f>
        <v>0</v>
      </c>
      <c r="Z347" s="70" t="str">
        <f>IF(SUMIFS(TrackingTime!H:H,TrackingTime!F:F,Timer!B347,TrackingTime!C:C,"Hovedkontoret")&gt;0,SUMIFS(TrackingTime!H:H,TrackingTime!F:F,Timer!B347,TrackingTime!C:C,"Hovedkontoret"),"")</f>
        <v/>
      </c>
      <c r="AA347" s="71" t="str">
        <f t="shared" si="378"/>
        <v/>
      </c>
      <c r="AB347" t="str">
        <f>IF(SUMIFS(TrackingTime!H:H,TrackingTime!F:F,Timer!B347,TrackingTime!C:C,Start!$F$3)&gt;0,SUMIFS(TrackingTime!H:H,TrackingTime!F:F,Timer!B347,TrackingTime!C:C,Start!$F$3),"")</f>
        <v/>
      </c>
      <c r="AC347" s="71" t="str">
        <f t="shared" si="381"/>
        <v/>
      </c>
    </row>
    <row r="348" spans="1:29" x14ac:dyDescent="0.25">
      <c r="A348" s="16">
        <f>B345-B339-1</f>
        <v>5</v>
      </c>
      <c r="B348" t="s">
        <v>117</v>
      </c>
      <c r="E348">
        <f t="shared" ca="1" si="329"/>
        <v>0</v>
      </c>
      <c r="F348" t="str">
        <f>IFERROR(IF(YEAR(B348)=Start!$B$1,MONTH(B348),""),"")</f>
        <v/>
      </c>
      <c r="G348" s="64" t="str">
        <f>IFERROR(VLOOKUP(B348,Start!A$111:B$273,2,FALSE),"")</f>
        <v/>
      </c>
      <c r="L348" s="77">
        <f t="shared" ca="1" si="351"/>
        <v>0</v>
      </c>
      <c r="O348" s="21">
        <f t="shared" ref="O348" si="394">O346-O347</f>
        <v>0</v>
      </c>
      <c r="P348" s="21"/>
      <c r="Q348" s="21"/>
      <c r="U348" s="1">
        <f t="shared" ref="U348" ca="1" si="395">U346-U347*(IF(NETWORKDAYS($B339,TODAY())&lt;0,0,IF(NETWORKDAYS($B339,TODAY())&lt;=$A348,NETWORKDAYS($B339,TODAY()),$A348)))/$A348</f>
        <v>0</v>
      </c>
      <c r="V348" s="58"/>
      <c r="W348" s="21"/>
      <c r="X348" s="21">
        <f>X346-X347</f>
        <v>0</v>
      </c>
      <c r="Z348" s="70" t="str">
        <f>IF(SUMIFS(TrackingTime!H:H,TrackingTime!F:F,Timer!B348,TrackingTime!C:C,"Hovedkontoret")&gt;0,SUMIFS(TrackingTime!H:H,TrackingTime!F:F,Timer!B348,TrackingTime!C:C,"Hovedkontoret"),"")</f>
        <v/>
      </c>
      <c r="AA348" s="71" t="str">
        <f t="shared" si="378"/>
        <v/>
      </c>
      <c r="AB348" t="str">
        <f>IF(SUMIFS(TrackingTime!H:H,TrackingTime!F:F,Timer!B348,TrackingTime!C:C,Start!$F$3)&gt;0,SUMIFS(TrackingTime!H:H,TrackingTime!F:F,Timer!B348,TrackingTime!C:C,Start!$F$3),"")</f>
        <v/>
      </c>
      <c r="AC348" s="71" t="str">
        <f t="shared" si="381"/>
        <v/>
      </c>
    </row>
    <row r="349" spans="1:29" x14ac:dyDescent="0.25">
      <c r="A349" s="15"/>
      <c r="E349">
        <f t="shared" ca="1" si="329"/>
        <v>1</v>
      </c>
      <c r="F349" t="str">
        <f>IFERROR(IF(YEAR(B349)=Start!$B$1,MONTH(B349),""),"")</f>
        <v/>
      </c>
      <c r="G349" s="64" t="str">
        <f>IFERROR(VLOOKUP(B349,Start!A$111:B$273,2,FALSE),"")</f>
        <v/>
      </c>
      <c r="O349" s="2"/>
      <c r="P349" s="2"/>
      <c r="U349" s="1"/>
      <c r="V349" s="7"/>
      <c r="X349" s="2"/>
      <c r="Z349" s="70" t="str">
        <f>IF(SUMIFS(TrackingTime!H:H,TrackingTime!F:F,Timer!B349,TrackingTime!C:C,"Hovedkontoret")&gt;0,SUMIFS(TrackingTime!H:H,TrackingTime!F:F,Timer!B349,TrackingTime!C:C,"Hovedkontoret"),"")</f>
        <v/>
      </c>
      <c r="AA349" s="71" t="str">
        <f t="shared" si="378"/>
        <v/>
      </c>
      <c r="AB349" t="str">
        <f>IF(SUMIFS(TrackingTime!H:H,TrackingTime!F:F,Timer!B349,TrackingTime!C:C,Start!$F$3)&gt;0,SUMIFS(TrackingTime!H:H,TrackingTime!F:F,Timer!B349,TrackingTime!C:C,Start!$F$3),"")</f>
        <v/>
      </c>
      <c r="AC349" s="71" t="str">
        <f t="shared" si="381"/>
        <v/>
      </c>
    </row>
    <row r="350" spans="1:29" x14ac:dyDescent="0.25">
      <c r="A350" s="2" t="s">
        <v>82</v>
      </c>
      <c r="B350" s="14" t="s">
        <v>83</v>
      </c>
      <c r="E350">
        <f t="shared" ca="1" si="329"/>
        <v>0</v>
      </c>
      <c r="F350" t="str">
        <f>IFERROR(IF(YEAR(B350)=Start!$B$1,MONTH(B350),""),"")</f>
        <v/>
      </c>
      <c r="G350" s="64" t="str">
        <f>IFERROR(VLOOKUP(B350,Start!A$111:B$273,2,FALSE),"")</f>
        <v/>
      </c>
      <c r="H350" s="2" t="s">
        <v>86</v>
      </c>
      <c r="I350" s="2" t="s">
        <v>125</v>
      </c>
      <c r="J350" s="2" t="s">
        <v>126</v>
      </c>
      <c r="K350" s="2" t="s">
        <v>127</v>
      </c>
      <c r="L350" s="3" t="s">
        <v>87</v>
      </c>
      <c r="M350" s="6"/>
      <c r="N350" s="2" t="s">
        <v>88</v>
      </c>
      <c r="O350" s="2" t="s">
        <v>89</v>
      </c>
      <c r="P350" s="2"/>
      <c r="Q350" s="2" t="s">
        <v>86</v>
      </c>
      <c r="R350" s="2" t="s">
        <v>125</v>
      </c>
      <c r="S350" s="2" t="s">
        <v>126</v>
      </c>
      <c r="T350" s="2" t="s">
        <v>127</v>
      </c>
      <c r="U350" s="3" t="s">
        <v>87</v>
      </c>
      <c r="V350" s="6"/>
      <c r="W350" s="2" t="s">
        <v>88</v>
      </c>
      <c r="X350" s="2" t="s">
        <v>89</v>
      </c>
      <c r="Z350" s="70" t="str">
        <f>IF(SUMIFS(TrackingTime!H:H,TrackingTime!F:F,Timer!B350,TrackingTime!C:C,"Hovedkontoret")&gt;0,SUMIFS(TrackingTime!H:H,TrackingTime!F:F,Timer!B350,TrackingTime!C:C,"Hovedkontoret"),"")</f>
        <v/>
      </c>
      <c r="AA350" s="71" t="str">
        <f t="shared" si="378"/>
        <v/>
      </c>
      <c r="AB350" t="str">
        <f>IF(SUMIFS(TrackingTime!H:H,TrackingTime!F:F,Timer!B350,TrackingTime!C:C,Start!$F$3)&gt;0,SUMIFS(TrackingTime!H:H,TrackingTime!F:F,Timer!B350,TrackingTime!C:C,Start!$F$3),"")</f>
        <v/>
      </c>
      <c r="AC350" s="71" t="str">
        <f t="shared" si="381"/>
        <v/>
      </c>
    </row>
    <row r="351" spans="1:29" x14ac:dyDescent="0.25">
      <c r="A351" s="15">
        <f>WEEKNUM(B351,21)</f>
        <v>29</v>
      </c>
      <c r="B351" s="63">
        <f>B345+(DAY(1))</f>
        <v>46216</v>
      </c>
      <c r="C351" t="str">
        <f>IFERROR(IF(OR(L351="Fri",L351="Ferie",L351="Syk",L351="Omsorg",B351&lt;Start!$B$7),0,IF(IFERROR(MATCH(B351,Start!A$253:A$273,0),0)&gt;0,VLOOKUP(B351,Start!A$253:F$273,3,FALSE)/100*Start!$B$4,VLOOKUP(WEEKDAY(B351,2),Start!A$240:F$246,4,FALSE))),"")</f>
        <v/>
      </c>
      <c r="D351" t="str">
        <f>IFERROR(IF(OR(U351="Fri",U351="Ferie",U351="Syk",U351="Omsorg",B351&lt;Start!$F$7),0,IF(IFERROR(MATCH(B351,Start!A$253:A$273,0),0)&gt;0,VLOOKUP(B351,Start!A$253:F$273,3,FALSE)/100*Start!$F$4,VLOOKUP(WEEKDAY(B351,2),Start!A$240:F$246,6,FALSE))),"")</f>
        <v/>
      </c>
      <c r="E351">
        <f t="shared" ca="1" si="329"/>
        <v>0</v>
      </c>
      <c r="F351">
        <f>IFERROR(IF(YEAR(B351)=Start!$B$1,MONTH(B351),""),"")</f>
        <v>7</v>
      </c>
      <c r="G351" s="64" t="str">
        <f>IFERROR(VLOOKUP(B351,Start!A$111:B$273,2,FALSE),"")</f>
        <v/>
      </c>
      <c r="H351" s="21"/>
      <c r="I351" s="78">
        <v>0.33333333333333331</v>
      </c>
      <c r="J351" s="78">
        <v>0.33333333333333331</v>
      </c>
      <c r="K351" s="1" t="str">
        <f>IF(Start!$B$6="Ja","",IF(((J351-I351)*24)&gt;=5.5,"X",""))</f>
        <v/>
      </c>
      <c r="L351" s="1" t="str">
        <f>IF(_xlfn.IFNA(MATCH($A351,Start!$H$3:$H$11,0),0)&gt;0,"Ferie",IFERROR(IF(VLOOKUP(B351,Start!A$165:B$234,2,FALSE)&gt;0,"Fri",0),IF(AND((J351-I351)=0,Z351=""),"",MAX((IF(K351="X",(J351-I351)*24-0.5,(J351-I351)*24)),Z351))))</f>
        <v/>
      </c>
      <c r="M351" s="58"/>
      <c r="N351" s="21" t="str">
        <f t="shared" ref="N351:N357" si="396">IF(H351=0,"",H351)</f>
        <v/>
      </c>
      <c r="O351" s="21" t="str">
        <f t="shared" ref="O351:O357" si="397">IF(L351=0,"",L351)</f>
        <v/>
      </c>
      <c r="P351" s="2"/>
      <c r="Q351" s="21"/>
      <c r="R351" s="78">
        <v>0.33333333333333331</v>
      </c>
      <c r="S351" s="78">
        <v>0.33333333333333331</v>
      </c>
      <c r="T351" s="1" t="str">
        <f>IF(Start!$B$6="Ja","",IF(((S351-R351)*24)&gt;=5.5,"X",""))</f>
        <v/>
      </c>
      <c r="U351" s="1" t="str">
        <f>IF(_xlfn.IFNA(MATCH($A$15,Start!$H$3:$H$11,0),0)&gt;0,"Ferie",(IF(L351="fri","Fri",(IF(L351="syk","Syk",IF(L351="Ferie","Ferie",IF(AND((S351-R351)=0,AB351=""),"",MAX((IF(T351="X",(S351-R351)*24-0.5,(S351-R351)*24)),AB351))))))))</f>
        <v/>
      </c>
      <c r="V351" s="58"/>
      <c r="W351" s="21" t="str">
        <f t="shared" ref="W351:W357" si="398">IF(Q351=0,"",Q351)</f>
        <v/>
      </c>
      <c r="X351" s="21" t="str">
        <f t="shared" ref="X351:X357" si="399">IF(U351=0,"",U351)</f>
        <v/>
      </c>
      <c r="Z351" s="70" t="str">
        <f>IF(SUMIFS(TrackingTime!H:H,TrackingTime!F:F,Timer!B351,TrackingTime!C:C,"Hovedkontoret")&gt;0,SUMIFS(TrackingTime!H:H,TrackingTime!F:F,Timer!B351,TrackingTime!C:C,"Hovedkontoret"),"")</f>
        <v/>
      </c>
      <c r="AA351" s="71" t="str">
        <f t="shared" si="378"/>
        <v/>
      </c>
      <c r="AB351" t="str">
        <f>IF(SUMIFS(TrackingTime!H:H,TrackingTime!F:F,Timer!B351,TrackingTime!C:C,Start!$F$3)&gt;0,SUMIFS(TrackingTime!H:H,TrackingTime!F:F,Timer!B351,TrackingTime!C:C,Start!$F$3),"")</f>
        <v/>
      </c>
      <c r="AC351" s="71" t="str">
        <f t="shared" si="381"/>
        <v/>
      </c>
    </row>
    <row r="352" spans="1:29" x14ac:dyDescent="0.25">
      <c r="A352" s="15"/>
      <c r="B352" s="63">
        <f t="shared" ref="B352:B357" si="400">B351+DAY(1)</f>
        <v>46217</v>
      </c>
      <c r="C352" t="str">
        <f>IFERROR(IF(OR(L352="Fri",L352="Ferie",L352="Syk",L352="Omsorg",B352&lt;Start!$B$7),0,IF(IFERROR(MATCH(B352,Start!A$253:A$273,0),0)&gt;0,VLOOKUP(B352,Start!A$253:F$273,3,FALSE)/100*Start!$B$4,VLOOKUP(WEEKDAY(B352,2),Start!A$240:F$246,4,FALSE))),"")</f>
        <v/>
      </c>
      <c r="D352" t="str">
        <f>IFERROR(IF(OR(U352="Fri",U352="Ferie",U352="Syk",U352="Omsorg",B352&lt;Start!$F$7),0,IF(IFERROR(MATCH(B352,Start!A$253:A$273,0),0)&gt;0,VLOOKUP(B352,Start!A$253:F$273,3,FALSE)/100*Start!$F$4,VLOOKUP(WEEKDAY(B352,2),Start!A$240:F$246,6,FALSE))),"")</f>
        <v/>
      </c>
      <c r="E352">
        <f t="shared" ca="1" si="329"/>
        <v>0</v>
      </c>
      <c r="F352">
        <f>IFERROR(IF(YEAR(B352)=Start!$B$1,MONTH(B352),""),"")</f>
        <v>7</v>
      </c>
      <c r="G352" s="64" t="str">
        <f>IFERROR(VLOOKUP(B352,Start!A$111:B$273,2,FALSE),"")</f>
        <v/>
      </c>
      <c r="H352" s="21"/>
      <c r="I352" s="78">
        <v>0.33333333333333331</v>
      </c>
      <c r="J352" s="78">
        <v>0.33333333333333331</v>
      </c>
      <c r="K352" s="1" t="str">
        <f>IF(Start!$B$6="Ja","",IF(((J352-I352)*24)&gt;=5.5,"X",""))</f>
        <v/>
      </c>
      <c r="L352" s="1" t="str">
        <f>IF(_xlfn.IFNA(MATCH($A351,Start!$H$3:$H$11,0),0)&gt;0,"Ferie",IFERROR(IF(VLOOKUP($B352,Start!$A$165:$B$234,2,FALSE)&gt;0,"Fri",0),IF(AND((J352-I352)=0,Z352=""),"",MAX((IF(K352="X",(J352-I352)*24-0.5,(J352-I352)*24)),Z352))))</f>
        <v/>
      </c>
      <c r="M352" s="58"/>
      <c r="N352" s="21" t="str">
        <f t="shared" si="396"/>
        <v/>
      </c>
      <c r="O352" s="21" t="str">
        <f t="shared" si="397"/>
        <v/>
      </c>
      <c r="P352" s="2"/>
      <c r="Q352" s="21"/>
      <c r="R352" s="78">
        <v>0.33333333333333331</v>
      </c>
      <c r="S352" s="78">
        <v>0.33333333333333331</v>
      </c>
      <c r="T352" s="1" t="str">
        <f>IF(Start!$B$6="Ja","",IF(((S352-R352)*24)&gt;=5.5,"X",""))</f>
        <v/>
      </c>
      <c r="U352" s="1" t="str">
        <f>IF(_xlfn.IFNA(MATCH($A$15,Start!$H$3:$H$11,0),0)&gt;0,"Ferie",(IF(L352="fri","Fri",(IF(L352="syk","Syk",IF(L352="Ferie","Ferie",IF(AND((S352-R352)=0,AB352=""),"",MAX((IF(T352="X",(S352-R352)*24-0.5,(S352-R352)*24)),AB352))))))))</f>
        <v/>
      </c>
      <c r="V352" s="58"/>
      <c r="W352" s="21" t="str">
        <f t="shared" si="398"/>
        <v/>
      </c>
      <c r="X352" s="21" t="str">
        <f t="shared" si="399"/>
        <v/>
      </c>
      <c r="Z352" s="70" t="str">
        <f>IF(SUMIFS(TrackingTime!H:H,TrackingTime!F:F,Timer!B352,TrackingTime!C:C,"Hovedkontoret")&gt;0,SUMIFS(TrackingTime!H:H,TrackingTime!F:F,Timer!B352,TrackingTime!C:C,"Hovedkontoret"),"")</f>
        <v/>
      </c>
      <c r="AA352" s="71" t="str">
        <f t="shared" si="378"/>
        <v/>
      </c>
      <c r="AB352" t="str">
        <f>IF(SUMIFS(TrackingTime!H:H,TrackingTime!F:F,Timer!B352,TrackingTime!C:C,Start!$F$3)&gt;0,SUMIFS(TrackingTime!H:H,TrackingTime!F:F,Timer!B352,TrackingTime!C:C,Start!$F$3),"")</f>
        <v/>
      </c>
      <c r="AC352" s="71" t="str">
        <f t="shared" si="381"/>
        <v/>
      </c>
    </row>
    <row r="353" spans="1:29" x14ac:dyDescent="0.25">
      <c r="A353" s="15"/>
      <c r="B353" s="63">
        <f t="shared" si="400"/>
        <v>46218</v>
      </c>
      <c r="C353" t="str">
        <f>IFERROR(IF(OR(L353="Fri",L353="Ferie",L353="Syk",L353="Omsorg",B353&lt;Start!$B$7),0,IF(IFERROR(MATCH(B353,Start!A$253:A$273,0),0)&gt;0,VLOOKUP(B353,Start!A$253:F$273,3,FALSE)/100*Start!$B$4,VLOOKUP(WEEKDAY(B353,2),Start!A$240:F$246,4,FALSE))),"")</f>
        <v/>
      </c>
      <c r="D353" t="str">
        <f>IFERROR(IF(OR(U353="Fri",U353="Ferie",U353="Syk",U353="Omsorg",B353&lt;Start!$F$7),0,IF(IFERROR(MATCH(B353,Start!A$253:A$273,0),0)&gt;0,VLOOKUP(B353,Start!A$253:F$273,3,FALSE)/100*Start!$F$4,VLOOKUP(WEEKDAY(B353,2),Start!A$240:F$246,6,FALSE))),"")</f>
        <v/>
      </c>
      <c r="E353">
        <f t="shared" ca="1" si="329"/>
        <v>0</v>
      </c>
      <c r="F353">
        <f>IFERROR(IF(YEAR(B353)=Start!$B$1,MONTH(B353),""),"")</f>
        <v>7</v>
      </c>
      <c r="G353" s="64" t="str">
        <f>IFERROR(VLOOKUP(B353,Start!A$111:B$273,2,FALSE),"")</f>
        <v/>
      </c>
      <c r="H353" s="21"/>
      <c r="I353" s="78">
        <v>0.33333333333333331</v>
      </c>
      <c r="J353" s="78">
        <v>0.33333333333333331</v>
      </c>
      <c r="K353" s="1" t="str">
        <f>IF(Start!$B$6="Ja","",IF(((J353-I353)*24)&gt;=5.5,"X",""))</f>
        <v/>
      </c>
      <c r="L353" s="1" t="str">
        <f>IF(_xlfn.IFNA(MATCH($A351,Start!$H$3:$H$11,0),0)&gt;0,"Ferie",IFERROR(IF(VLOOKUP(B353,Start!A$165:B$234,2,FALSE)&gt;0,"Fri",0),IF(AND((J353-I353)=0,Z353=""),"",MAX((IF(K353="X",(J353-I353)*24-0.5,(J353-I353)*24)),Z353))))</f>
        <v/>
      </c>
      <c r="M353" s="58"/>
      <c r="N353" s="21" t="str">
        <f t="shared" si="396"/>
        <v/>
      </c>
      <c r="O353" s="21" t="str">
        <f t="shared" si="397"/>
        <v/>
      </c>
      <c r="P353" s="2"/>
      <c r="Q353" s="21"/>
      <c r="R353" s="78">
        <v>0.33333333333333331</v>
      </c>
      <c r="S353" s="78">
        <v>0.33333333333333331</v>
      </c>
      <c r="T353" s="1" t="str">
        <f>IF(Start!$B$6="Ja","",IF(((S353-R353)*24)&gt;=5.5,"X",""))</f>
        <v/>
      </c>
      <c r="U353" s="1" t="str">
        <f>IF(_xlfn.IFNA(MATCH($A$15,Start!$H$3:$H$11,0),0)&gt;0,"Ferie",(IF(L353="fri","Fri",(IF(L353="syk","Syk",IF(L353="Ferie","Ferie",IF(AND((S353-R353)=0,AB353=""),"",MAX((IF(T353="X",(S353-R353)*24-0.5,(S353-R353)*24)),AB353))))))))</f>
        <v/>
      </c>
      <c r="V353" s="58"/>
      <c r="W353" s="21" t="str">
        <f t="shared" si="398"/>
        <v/>
      </c>
      <c r="X353" s="21" t="str">
        <f t="shared" si="399"/>
        <v/>
      </c>
      <c r="Z353" s="70" t="str">
        <f>IF(SUMIFS(TrackingTime!H:H,TrackingTime!F:F,Timer!B353,TrackingTime!C:C,"Hovedkontoret")&gt;0,SUMIFS(TrackingTime!H:H,TrackingTime!F:F,Timer!B353,TrackingTime!C:C,"Hovedkontoret"),"")</f>
        <v/>
      </c>
      <c r="AA353" s="71" t="str">
        <f t="shared" si="378"/>
        <v/>
      </c>
      <c r="AB353" t="str">
        <f>IF(SUMIFS(TrackingTime!H:H,TrackingTime!F:F,Timer!B353,TrackingTime!C:C,Start!$F$3)&gt;0,SUMIFS(TrackingTime!H:H,TrackingTime!F:F,Timer!B353,TrackingTime!C:C,Start!$F$3),"")</f>
        <v/>
      </c>
      <c r="AC353" s="71" t="str">
        <f t="shared" si="381"/>
        <v/>
      </c>
    </row>
    <row r="354" spans="1:29" x14ac:dyDescent="0.25">
      <c r="A354" s="15"/>
      <c r="B354" s="63">
        <f t="shared" si="400"/>
        <v>46219</v>
      </c>
      <c r="C354" t="str">
        <f>IFERROR(IF(OR(L354="Fri",L354="Ferie",L354="Syk",L354="Omsorg",B354&lt;Start!$B$7),0,IF(IFERROR(MATCH(B354,Start!A$253:A$273,0),0)&gt;0,VLOOKUP(B354,Start!A$253:F$273,3,FALSE)/100*Start!$B$4,VLOOKUP(WEEKDAY(B354,2),Start!A$240:F$246,4,FALSE))),"")</f>
        <v/>
      </c>
      <c r="D354" t="str">
        <f>IFERROR(IF(OR(U354="Fri",U354="Ferie",U354="Syk",U354="Omsorg",B354&lt;Start!$F$7),0,IF(IFERROR(MATCH(B354,Start!A$253:A$273,0),0)&gt;0,VLOOKUP(B354,Start!A$253:F$273,3,FALSE)/100*Start!$F$4,VLOOKUP(WEEKDAY(B354,2),Start!A$240:F$246,6,FALSE))),"")</f>
        <v/>
      </c>
      <c r="E354">
        <f t="shared" ca="1" si="329"/>
        <v>0</v>
      </c>
      <c r="F354">
        <f>IFERROR(IF(YEAR(B354)=Start!$B$1,MONTH(B354),""),"")</f>
        <v>7</v>
      </c>
      <c r="G354" s="64" t="str">
        <f>IFERROR(VLOOKUP(B354,Start!A$111:B$273,2,FALSE),"")</f>
        <v/>
      </c>
      <c r="H354" s="21"/>
      <c r="I354" s="78">
        <v>0.33333333333333331</v>
      </c>
      <c r="J354" s="78">
        <v>0.33333333333333331</v>
      </c>
      <c r="K354" s="1" t="str">
        <f>IF(Start!$B$6="Ja","",IF(((J354-I354)*24)&gt;=5.5,"X",""))</f>
        <v/>
      </c>
      <c r="L354" s="1" t="str">
        <f>IF(_xlfn.IFNA(MATCH($A351,Start!$H$3:$H$11,0),0)&gt;0,"Ferie",IFERROR(IF(VLOOKUP(B354,Start!A$165:B$234,2,FALSE)&gt;0,"Fri",0),IF(AND((J354-I354)=0,Z354=""),"",MAX((IF(K354="X",(J354-I354)*24-0.5,(J354-I354)*24)),Z354))))</f>
        <v/>
      </c>
      <c r="M354" s="58"/>
      <c r="N354" s="21" t="str">
        <f t="shared" si="396"/>
        <v/>
      </c>
      <c r="O354" s="21" t="str">
        <f t="shared" si="397"/>
        <v/>
      </c>
      <c r="P354" s="2"/>
      <c r="Q354" s="21"/>
      <c r="R354" s="78">
        <v>0.33333333333333331</v>
      </c>
      <c r="S354" s="78">
        <v>0.33333333333333331</v>
      </c>
      <c r="T354" s="1" t="str">
        <f>IF(Start!$B$6="Ja","",IF(((S354-R354)*24)&gt;=5.5,"X",""))</f>
        <v/>
      </c>
      <c r="U354" s="1" t="str">
        <f>IF(_xlfn.IFNA(MATCH($A$15,Start!$H$3:$H$11,0),0)&gt;0,"Ferie",(IF(L354="fri","Fri",(IF(L354="syk","Syk",IF(L354="Ferie","Ferie",IF(AND((S354-R354)=0,AB354=""),"",MAX((IF(T354="X",(S354-R354)*24-0.5,(S354-R354)*24)),AB354))))))))</f>
        <v/>
      </c>
      <c r="V354" s="58"/>
      <c r="W354" s="21" t="str">
        <f t="shared" si="398"/>
        <v/>
      </c>
      <c r="X354" s="21" t="str">
        <f t="shared" si="399"/>
        <v/>
      </c>
      <c r="Z354" s="70" t="str">
        <f>IF(SUMIFS(TrackingTime!H:H,TrackingTime!F:F,Timer!B354,TrackingTime!C:C,"Hovedkontoret")&gt;0,SUMIFS(TrackingTime!H:H,TrackingTime!F:F,Timer!B354,TrackingTime!C:C,"Hovedkontoret"),"")</f>
        <v/>
      </c>
      <c r="AA354" s="71" t="str">
        <f t="shared" si="378"/>
        <v/>
      </c>
      <c r="AB354" t="str">
        <f>IF(SUMIFS(TrackingTime!H:H,TrackingTime!F:F,Timer!B354,TrackingTime!C:C,Start!$F$3)&gt;0,SUMIFS(TrackingTime!H:H,TrackingTime!F:F,Timer!B354,TrackingTime!C:C,Start!$F$3),"")</f>
        <v/>
      </c>
      <c r="AC354" s="71" t="str">
        <f t="shared" si="381"/>
        <v/>
      </c>
    </row>
    <row r="355" spans="1:29" x14ac:dyDescent="0.25">
      <c r="A355" s="15"/>
      <c r="B355" s="63">
        <f t="shared" si="400"/>
        <v>46220</v>
      </c>
      <c r="C355" t="str">
        <f>IFERROR(IF(OR(L355="Fri",L355="Ferie",L355="Syk",L355="Omsorg",B355&lt;Start!$B$7),0,IF(IFERROR(MATCH(B355,Start!A$253:A$273,0),0)&gt;0,VLOOKUP(B355,Start!A$253:F$273,3,FALSE)/100*Start!$B$4,VLOOKUP(WEEKDAY(B355,2),Start!A$240:F$246,4,FALSE))),"")</f>
        <v/>
      </c>
      <c r="D355" t="str">
        <f>IFERROR(IF(OR(U355="Fri",U355="Ferie",U355="Syk",U355="Omsorg",B355&lt;Start!$F$7),0,IF(IFERROR(MATCH(B355,Start!A$253:A$273,0),0)&gt;0,VLOOKUP(B355,Start!A$253:F$273,3,FALSE)/100*Start!$F$4,VLOOKUP(WEEKDAY(B355,2),Start!A$240:F$246,6,FALSE))),"")</f>
        <v/>
      </c>
      <c r="E355">
        <f t="shared" ca="1" si="329"/>
        <v>0</v>
      </c>
      <c r="F355">
        <f>IFERROR(IF(YEAR(B355)=Start!$B$1,MONTH(B355),""),"")</f>
        <v>7</v>
      </c>
      <c r="G355" s="64" t="str">
        <f>IFERROR(VLOOKUP(B355,Start!A$111:B$273,2,FALSE),"")</f>
        <v/>
      </c>
      <c r="H355" s="21"/>
      <c r="I355" s="78">
        <v>0.33333333333333331</v>
      </c>
      <c r="J355" s="78">
        <v>0.33333333333333331</v>
      </c>
      <c r="K355" s="1" t="str">
        <f>IF(Start!$B$6="Ja","",IF(((J355-I355)*24)&gt;=5.5,"X",""))</f>
        <v/>
      </c>
      <c r="L355" s="1" t="str">
        <f>IF(_xlfn.IFNA(MATCH($A351,Start!$H$3:$H$11,0),0)&gt;0,"Ferie",IFERROR(IF(VLOOKUP(B355,Start!A$165:B$234,2,FALSE)&gt;0,"Fri",0),IF(AND((J355-I355)=0,Z355=""),"",MAX((IF(K355="X",(J355-I355)*24-0.5,(J355-I355)*24)),Z355))))</f>
        <v/>
      </c>
      <c r="M355" s="58"/>
      <c r="N355" s="21" t="str">
        <f t="shared" si="396"/>
        <v/>
      </c>
      <c r="O355" s="21" t="str">
        <f t="shared" si="397"/>
        <v/>
      </c>
      <c r="P355" s="2"/>
      <c r="Q355" s="21"/>
      <c r="R355" s="78">
        <v>0.33333333333333331</v>
      </c>
      <c r="S355" s="78">
        <v>0.33333333333333331</v>
      </c>
      <c r="T355" s="1" t="str">
        <f>IF(Start!$B$6="Ja","",IF(((S355-R355)*24)&gt;=5.5,"X",""))</f>
        <v/>
      </c>
      <c r="U355" s="1" t="str">
        <f>IF(_xlfn.IFNA(MATCH($A$15,Start!$H$3:$H$11,0),0)&gt;0,"Ferie",(IF(L355="fri","Fri",(IF(L355="syk","Syk",IF(L355="Ferie","Ferie",IF(AND((S355-R355)=0,AB355=""),"",MAX((IF(T355="X",(S355-R355)*24-0.5,(S355-R355)*24)),AB355))))))))</f>
        <v/>
      </c>
      <c r="V355" s="58"/>
      <c r="W355" s="21" t="str">
        <f t="shared" si="398"/>
        <v/>
      </c>
      <c r="X355" s="21" t="str">
        <f t="shared" si="399"/>
        <v/>
      </c>
      <c r="Z355" s="70" t="str">
        <f>IF(SUMIFS(TrackingTime!H:H,TrackingTime!F:F,Timer!B355,TrackingTime!C:C,"Hovedkontoret")&gt;0,SUMIFS(TrackingTime!H:H,TrackingTime!F:F,Timer!B355,TrackingTime!C:C,"Hovedkontoret"),"")</f>
        <v/>
      </c>
      <c r="AA355" s="71" t="str">
        <f t="shared" si="378"/>
        <v/>
      </c>
      <c r="AB355" t="str">
        <f>IF(SUMIFS(TrackingTime!H:H,TrackingTime!F:F,Timer!B355,TrackingTime!C:C,Start!$F$3)&gt;0,SUMIFS(TrackingTime!H:H,TrackingTime!F:F,Timer!B355,TrackingTime!C:C,Start!$F$3),"")</f>
        <v/>
      </c>
      <c r="AC355" s="71" t="str">
        <f t="shared" si="381"/>
        <v/>
      </c>
    </row>
    <row r="356" spans="1:29" x14ac:dyDescent="0.25">
      <c r="A356" s="15"/>
      <c r="B356" s="63">
        <f t="shared" si="400"/>
        <v>46221</v>
      </c>
      <c r="C356">
        <f>IFERROR(IF(OR(L356="Fri",L356="Ferie",L356="Syk",L356="Omsorg",B356&lt;Start!$B$7),0,IF(IFERROR(MATCH(B356,Start!A$253:A$273,0),0)&gt;0,VLOOKUP(B356,Start!A$253:F$273,3,FALSE)/100*Start!$B$4,VLOOKUP(WEEKDAY(B356,2),Start!A$240:F$246,4,FALSE))),"")</f>
        <v>0</v>
      </c>
      <c r="D356">
        <f>IFERROR(IF(OR(U356="Fri",U356="Ferie",U356="Syk",U356="Omsorg",B356&lt;Start!$F$7),0,IF(IFERROR(MATCH(B356,Start!A$253:A$273,0),0)&gt;0,VLOOKUP(B356,Start!A$253:F$273,3,FALSE)/100*Start!$F$4,VLOOKUP(WEEKDAY(B356,2),Start!A$240:F$246,6,FALSE))),"")</f>
        <v>0</v>
      </c>
      <c r="E356">
        <f t="shared" ca="1" si="329"/>
        <v>0</v>
      </c>
      <c r="F356">
        <f>IFERROR(IF(YEAR(B356)=Start!$B$1,MONTH(B356),""),"")</f>
        <v>7</v>
      </c>
      <c r="G356" s="64" t="str">
        <f>IFERROR(VLOOKUP(B356,Start!A$111:B$273,2,FALSE),"")</f>
        <v/>
      </c>
      <c r="H356" s="21"/>
      <c r="I356" s="78">
        <v>0.41666666666666669</v>
      </c>
      <c r="J356" s="78">
        <v>0.41666666666666669</v>
      </c>
      <c r="K356" s="1" t="str">
        <f>IF(Start!$B$6="Ja","",IF(((J356-I356)*24)&gt;=5.5,"X",""))</f>
        <v/>
      </c>
      <c r="L356" s="1" t="str">
        <f t="shared" ref="L356:L357" si="401">IF(AND((J356-I356)=0,Z356=""),"",MAX((IF(K356="X",(J356-I356)*24-0.5,(J356-I356)*24)),Z356))</f>
        <v/>
      </c>
      <c r="M356" s="58"/>
      <c r="N356" s="21" t="str">
        <f t="shared" si="396"/>
        <v/>
      </c>
      <c r="O356" s="21" t="str">
        <f t="shared" si="397"/>
        <v/>
      </c>
      <c r="P356" s="2"/>
      <c r="Q356" s="21"/>
      <c r="R356" s="78">
        <v>0.41666666666666669</v>
      </c>
      <c r="S356" s="78">
        <v>0.41666666666666669</v>
      </c>
      <c r="T356" s="1" t="str">
        <f>IF(Start!$B$6="Ja","",IF(((S356-R356)*24)&gt;=5.5,"X",""))</f>
        <v/>
      </c>
      <c r="U356" s="1" t="str">
        <f t="shared" ref="U356:U357" si="402">IF(AND((S356-R356)=0,AB356=""),"",MAX((IF(T356="X",(S356-R356)*24-0.5,(S356-R356)*24)),AB356))</f>
        <v/>
      </c>
      <c r="V356" s="58"/>
      <c r="W356" s="21" t="str">
        <f t="shared" si="398"/>
        <v/>
      </c>
      <c r="X356" s="21" t="str">
        <f t="shared" si="399"/>
        <v/>
      </c>
      <c r="Z356" s="70" t="str">
        <f>IF(SUMIFS(TrackingTime!H:H,TrackingTime!F:F,Timer!B356,TrackingTime!C:C,"Hovedkontoret")&gt;0,SUMIFS(TrackingTime!H:H,TrackingTime!F:F,Timer!B356,TrackingTime!C:C,"Hovedkontoret"),"")</f>
        <v/>
      </c>
      <c r="AA356" s="71" t="str">
        <f t="shared" si="378"/>
        <v/>
      </c>
      <c r="AB356" t="str">
        <f>IF(SUMIFS(TrackingTime!H:H,TrackingTime!F:F,Timer!B356,TrackingTime!C:C,Start!$F$3)&gt;0,SUMIFS(TrackingTime!H:H,TrackingTime!F:F,Timer!B356,TrackingTime!C:C,Start!$F$3),"")</f>
        <v/>
      </c>
      <c r="AC356" s="71" t="str">
        <f t="shared" si="381"/>
        <v/>
      </c>
    </row>
    <row r="357" spans="1:29" x14ac:dyDescent="0.25">
      <c r="A357" s="15"/>
      <c r="B357" s="63">
        <f t="shared" si="400"/>
        <v>46222</v>
      </c>
      <c r="C357">
        <f>IFERROR(IF(OR(L357="Fri",L357="Ferie",L357="Syk",L357="Omsorg",B357&lt;Start!$B$7),0,IF(IFERROR(MATCH(B357,Start!A$253:A$273,0),0)&gt;0,VLOOKUP(B357,Start!A$253:F$273,3,FALSE)/100*Start!$B$4,VLOOKUP(WEEKDAY(B357,2),Start!A$240:F$246,4,FALSE))),"")</f>
        <v>0</v>
      </c>
      <c r="D357">
        <f>IFERROR(IF(OR(U357="Fri",U357="Ferie",U357="Syk",U357="Omsorg",B357&lt;Start!$F$7),0,IF(IFERROR(MATCH(B357,Start!A$253:A$273,0),0)&gt;0,VLOOKUP(B357,Start!A$253:F$273,3,FALSE)/100*Start!$F$4,VLOOKUP(WEEKDAY(B357,2),Start!A$240:F$246,6,FALSE))),"")</f>
        <v>0</v>
      </c>
      <c r="E357">
        <f t="shared" ca="1" si="329"/>
        <v>0</v>
      </c>
      <c r="F357">
        <f>IFERROR(IF(YEAR(B357)=Start!$B$1,MONTH(B357),""),"")</f>
        <v>7</v>
      </c>
      <c r="G357" s="64" t="str">
        <f>IFERROR(VLOOKUP(B357,Start!A$111:B$273,2,FALSE),"")</f>
        <v/>
      </c>
      <c r="H357" s="25"/>
      <c r="I357" s="78">
        <v>0.41666666666666669</v>
      </c>
      <c r="J357" s="78">
        <v>0.41666666666666669</v>
      </c>
      <c r="K357" s="1" t="str">
        <f>IF(Start!$B$6="Ja","",IF(((J357-I357)*24)&gt;=5.5,"X",""))</f>
        <v/>
      </c>
      <c r="L357" s="1" t="str">
        <f t="shared" si="401"/>
        <v/>
      </c>
      <c r="M357" s="58"/>
      <c r="N357" s="21" t="str">
        <f t="shared" si="396"/>
        <v/>
      </c>
      <c r="O357" s="21" t="str">
        <f t="shared" si="397"/>
        <v/>
      </c>
      <c r="Q357" s="25"/>
      <c r="R357" s="78">
        <v>0.41666666666666669</v>
      </c>
      <c r="S357" s="78">
        <v>0.41666666666666669</v>
      </c>
      <c r="T357" s="1" t="str">
        <f>IF(Start!$B$6="Ja","",IF(((S357-R357)*24)&gt;=5.5,"X",""))</f>
        <v/>
      </c>
      <c r="U357" s="1" t="str">
        <f t="shared" si="402"/>
        <v/>
      </c>
      <c r="V357" s="58"/>
      <c r="W357" s="21" t="str">
        <f t="shared" si="398"/>
        <v/>
      </c>
      <c r="X357" s="21" t="str">
        <f t="shared" si="399"/>
        <v/>
      </c>
      <c r="Z357" s="70" t="str">
        <f>IF(SUMIFS(TrackingTime!H:H,TrackingTime!F:F,Timer!B357,TrackingTime!C:C,"Hovedkontoret")&gt;0,SUMIFS(TrackingTime!H:H,TrackingTime!F:F,Timer!B357,TrackingTime!C:C,"Hovedkontoret"),"")</f>
        <v/>
      </c>
      <c r="AA357" s="71" t="str">
        <f t="shared" si="378"/>
        <v/>
      </c>
      <c r="AB357" t="str">
        <f>IF(SUMIFS(TrackingTime!H:H,TrackingTime!F:F,Timer!B357,TrackingTime!C:C,Start!$F$3)&gt;0,SUMIFS(TrackingTime!H:H,TrackingTime!F:F,Timer!B357,TrackingTime!C:C,Start!$F$3),"")</f>
        <v/>
      </c>
      <c r="AC357" s="71" t="str">
        <f t="shared" si="381"/>
        <v/>
      </c>
    </row>
    <row r="358" spans="1:29" x14ac:dyDescent="0.25">
      <c r="A358" s="15"/>
      <c r="B358" s="4" t="s">
        <v>11</v>
      </c>
      <c r="C358" s="24"/>
      <c r="D358" s="24"/>
      <c r="E358" s="24">
        <f t="shared" ref="E358:E421" ca="1" si="403">IF(B358&gt;TODAY(),0,1)</f>
        <v>0</v>
      </c>
      <c r="F358" s="24" t="str">
        <f>IFERROR(IF(YEAR(B358)=Start!$B$1,MONTH(B358),""),"")</f>
        <v/>
      </c>
      <c r="G358" s="64" t="str">
        <f>IFERROR(VLOOKUP(B358,Start!A$111:B$273,2,FALSE),"")</f>
        <v/>
      </c>
      <c r="H358" s="4"/>
      <c r="I358" s="4"/>
      <c r="J358" s="4"/>
      <c r="K358" s="4"/>
      <c r="L358" s="5">
        <f t="shared" si="345"/>
        <v>0</v>
      </c>
      <c r="N358" s="24"/>
      <c r="O358" s="39">
        <f t="shared" ref="O358" si="404">SUM(O351:O357)</f>
        <v>0</v>
      </c>
      <c r="P358" s="40"/>
      <c r="Q358" s="41"/>
      <c r="R358" s="4"/>
      <c r="S358" s="4"/>
      <c r="T358" s="4"/>
      <c r="U358" s="5">
        <f t="shared" ref="U358" si="405">SUM($U351:$U357)</f>
        <v>0</v>
      </c>
      <c r="V358" s="58"/>
      <c r="W358" s="39"/>
      <c r="X358" s="39">
        <f t="shared" si="391"/>
        <v>0</v>
      </c>
      <c r="Z358" s="70" t="str">
        <f>IF(SUMIFS(TrackingTime!H:H,TrackingTime!F:F,Timer!B358,TrackingTime!C:C,"Hovedkontoret")&gt;0,SUMIFS(TrackingTime!H:H,TrackingTime!F:F,Timer!B358,TrackingTime!C:C,"Hovedkontoret"),"")</f>
        <v/>
      </c>
      <c r="AA358" s="71" t="str">
        <f t="shared" si="378"/>
        <v/>
      </c>
      <c r="AB358" t="str">
        <f>IF(SUMIFS(TrackingTime!H:H,TrackingTime!F:F,Timer!B358,TrackingTime!C:C,Start!$F$3)&gt;0,SUMIFS(TrackingTime!H:H,TrackingTime!F:F,Timer!B358,TrackingTime!C:C,Start!$F$3),"")</f>
        <v/>
      </c>
      <c r="AC358" s="71" t="str">
        <f t="shared" si="381"/>
        <v/>
      </c>
    </row>
    <row r="359" spans="1:29" x14ac:dyDescent="0.25">
      <c r="A359" s="15"/>
      <c r="B359" t="s">
        <v>90</v>
      </c>
      <c r="E359">
        <f t="shared" ca="1" si="403"/>
        <v>0</v>
      </c>
      <c r="F359" t="str">
        <f>IFERROR(IF(YEAR(B359)=Start!$B$1,MONTH(B359),""),"")</f>
        <v/>
      </c>
      <c r="G359" s="64" t="str">
        <f>IFERROR(VLOOKUP(B359,Start!A$111:B$273,2,FALSE),"")</f>
        <v/>
      </c>
      <c r="L359" s="1">
        <f t="shared" si="348"/>
        <v>0</v>
      </c>
      <c r="M359" s="1"/>
      <c r="N359" s="1"/>
      <c r="O359" s="21">
        <f t="shared" ref="O359" si="406">L359</f>
        <v>0</v>
      </c>
      <c r="P359" s="40"/>
      <c r="Q359" s="21"/>
      <c r="U359" s="1">
        <f t="shared" ref="U359" si="407">SUMIFS(D351:D357,F351:F357,"&gt;0")</f>
        <v>0</v>
      </c>
      <c r="V359" s="1"/>
      <c r="W359" s="1"/>
      <c r="X359" s="21">
        <f>U359</f>
        <v>0</v>
      </c>
      <c r="Z359" s="70" t="str">
        <f>IF(SUMIFS(TrackingTime!H:H,TrackingTime!F:F,Timer!B359,TrackingTime!C:C,"Hovedkontoret")&gt;0,SUMIFS(TrackingTime!H:H,TrackingTime!F:F,Timer!B359,TrackingTime!C:C,"Hovedkontoret"),"")</f>
        <v/>
      </c>
      <c r="AA359" s="71" t="str">
        <f t="shared" si="378"/>
        <v/>
      </c>
      <c r="AB359" t="str">
        <f>IF(SUMIFS(TrackingTime!H:H,TrackingTime!F:F,Timer!B359,TrackingTime!C:C,Start!$F$3)&gt;0,SUMIFS(TrackingTime!H:H,TrackingTime!F:F,Timer!B359,TrackingTime!C:C,Start!$F$3),"")</f>
        <v/>
      </c>
      <c r="AC359" s="71" t="str">
        <f t="shared" si="381"/>
        <v/>
      </c>
    </row>
    <row r="360" spans="1:29" x14ac:dyDescent="0.25">
      <c r="A360" s="16">
        <f>B357-B351-1</f>
        <v>5</v>
      </c>
      <c r="B360" t="s">
        <v>117</v>
      </c>
      <c r="E360">
        <f t="shared" ca="1" si="403"/>
        <v>0</v>
      </c>
      <c r="F360" t="str">
        <f>IFERROR(IF(YEAR(B360)=Start!$B$1,MONTH(B360),""),"")</f>
        <v/>
      </c>
      <c r="G360" s="64" t="str">
        <f>IFERROR(VLOOKUP(B360,Start!A$111:B$273,2,FALSE),"")</f>
        <v/>
      </c>
      <c r="L360" s="77">
        <f t="shared" ca="1" si="351"/>
        <v>0</v>
      </c>
      <c r="O360" s="21">
        <f t="shared" ref="O360" si="408">O358-O359</f>
        <v>0</v>
      </c>
      <c r="P360" s="21"/>
      <c r="Q360" s="21"/>
      <c r="U360" s="1">
        <f t="shared" ref="U360" ca="1" si="409">U358-U359*(IF(NETWORKDAYS($B351,TODAY())&lt;0,0,IF(NETWORKDAYS($B351,TODAY())&lt;=$A360,NETWORKDAYS($B351,TODAY()),$A360)))/$A360</f>
        <v>0</v>
      </c>
      <c r="V360" s="58"/>
      <c r="W360" s="21"/>
      <c r="X360" s="21">
        <f>X358-X359</f>
        <v>0</v>
      </c>
      <c r="Z360" s="70" t="str">
        <f>IF(SUMIFS(TrackingTime!H:H,TrackingTime!F:F,Timer!B360,TrackingTime!C:C,"Hovedkontoret")&gt;0,SUMIFS(TrackingTime!H:H,TrackingTime!F:F,Timer!B360,TrackingTime!C:C,"Hovedkontoret"),"")</f>
        <v/>
      </c>
      <c r="AA360" s="71" t="str">
        <f t="shared" si="378"/>
        <v/>
      </c>
      <c r="AB360" t="str">
        <f>IF(SUMIFS(TrackingTime!H:H,TrackingTime!F:F,Timer!B360,TrackingTime!C:C,Start!$F$3)&gt;0,SUMIFS(TrackingTime!H:H,TrackingTime!F:F,Timer!B360,TrackingTime!C:C,Start!$F$3),"")</f>
        <v/>
      </c>
      <c r="AC360" s="71" t="str">
        <f t="shared" si="381"/>
        <v/>
      </c>
    </row>
    <row r="361" spans="1:29" x14ac:dyDescent="0.25">
      <c r="A361" s="15"/>
      <c r="E361">
        <f t="shared" ca="1" si="403"/>
        <v>1</v>
      </c>
      <c r="F361" t="str">
        <f>IFERROR(IF(YEAR(B361)=Start!$B$1,MONTH(B361),""),"")</f>
        <v/>
      </c>
      <c r="G361" s="64" t="str">
        <f>IFERROR(VLOOKUP(B361,Start!A$111:B$273,2,FALSE),"")</f>
        <v/>
      </c>
      <c r="O361" s="2"/>
      <c r="P361" s="2"/>
      <c r="U361" s="1"/>
      <c r="V361" s="7"/>
      <c r="X361" s="2"/>
      <c r="Z361" s="70" t="str">
        <f>IF(SUMIFS(TrackingTime!H:H,TrackingTime!F:F,Timer!B361,TrackingTime!C:C,"Hovedkontoret")&gt;0,SUMIFS(TrackingTime!H:H,TrackingTime!F:F,Timer!B361,TrackingTime!C:C,"Hovedkontoret"),"")</f>
        <v/>
      </c>
      <c r="AA361" s="71" t="str">
        <f t="shared" si="378"/>
        <v/>
      </c>
      <c r="AB361" t="str">
        <f>IF(SUMIFS(TrackingTime!H:H,TrackingTime!F:F,Timer!B361,TrackingTime!C:C,Start!$F$3)&gt;0,SUMIFS(TrackingTime!H:H,TrackingTime!F:F,Timer!B361,TrackingTime!C:C,Start!$F$3),"")</f>
        <v/>
      </c>
      <c r="AC361" s="71" t="str">
        <f t="shared" si="381"/>
        <v/>
      </c>
    </row>
    <row r="362" spans="1:29" x14ac:dyDescent="0.25">
      <c r="A362" s="2" t="s">
        <v>82</v>
      </c>
      <c r="B362" s="14" t="s">
        <v>83</v>
      </c>
      <c r="E362">
        <f t="shared" ca="1" si="403"/>
        <v>0</v>
      </c>
      <c r="F362" t="str">
        <f>IFERROR(IF(YEAR(B362)=Start!$B$1,MONTH(B362),""),"")</f>
        <v/>
      </c>
      <c r="G362" s="64" t="str">
        <f>IFERROR(VLOOKUP(B362,Start!A$111:B$273,2,FALSE),"")</f>
        <v/>
      </c>
      <c r="H362" s="2" t="s">
        <v>86</v>
      </c>
      <c r="I362" s="2" t="s">
        <v>125</v>
      </c>
      <c r="J362" s="2" t="s">
        <v>126</v>
      </c>
      <c r="K362" s="2" t="s">
        <v>127</v>
      </c>
      <c r="L362" s="3" t="s">
        <v>87</v>
      </c>
      <c r="M362" s="6"/>
      <c r="N362" s="2" t="s">
        <v>88</v>
      </c>
      <c r="O362" s="2" t="s">
        <v>89</v>
      </c>
      <c r="P362" s="2"/>
      <c r="Q362" s="2" t="s">
        <v>86</v>
      </c>
      <c r="R362" s="2" t="s">
        <v>125</v>
      </c>
      <c r="S362" s="2" t="s">
        <v>126</v>
      </c>
      <c r="T362" s="2" t="s">
        <v>127</v>
      </c>
      <c r="U362" s="3" t="s">
        <v>87</v>
      </c>
      <c r="V362" s="6"/>
      <c r="W362" s="2" t="s">
        <v>88</v>
      </c>
      <c r="X362" s="2" t="s">
        <v>89</v>
      </c>
      <c r="Z362" s="70" t="str">
        <f>IF(SUMIFS(TrackingTime!H:H,TrackingTime!F:F,Timer!B362,TrackingTime!C:C,"Hovedkontoret")&gt;0,SUMIFS(TrackingTime!H:H,TrackingTime!F:F,Timer!B362,TrackingTime!C:C,"Hovedkontoret"),"")</f>
        <v/>
      </c>
      <c r="AA362" s="71" t="str">
        <f t="shared" si="378"/>
        <v/>
      </c>
      <c r="AB362" t="str">
        <f>IF(SUMIFS(TrackingTime!H:H,TrackingTime!F:F,Timer!B362,TrackingTime!C:C,Start!$F$3)&gt;0,SUMIFS(TrackingTime!H:H,TrackingTime!F:F,Timer!B362,TrackingTime!C:C,Start!$F$3),"")</f>
        <v/>
      </c>
      <c r="AC362" s="71" t="str">
        <f t="shared" si="381"/>
        <v/>
      </c>
    </row>
    <row r="363" spans="1:29" x14ac:dyDescent="0.25">
      <c r="A363" s="15">
        <f>WEEKNUM(B363,21)</f>
        <v>30</v>
      </c>
      <c r="B363" s="63">
        <f>B357+(DAY(1))</f>
        <v>46223</v>
      </c>
      <c r="C363" t="str">
        <f>IFERROR(IF(OR(L363="Fri",L363="Ferie",L363="Syk",L363="Omsorg",B363&lt;Start!$B$7),0,IF(IFERROR(MATCH(B363,Start!A$253:A$273,0),0)&gt;0,VLOOKUP(B363,Start!A$253:F$273,3,FALSE)/100*Start!$B$4,VLOOKUP(WEEKDAY(B363,2),Start!A$240:F$246,4,FALSE))),"")</f>
        <v/>
      </c>
      <c r="D363" t="str">
        <f>IFERROR(IF(OR(U363="Fri",U363="Ferie",U363="Syk",U363="Omsorg",B363&lt;Start!$F$7),0,IF(IFERROR(MATCH(B363,Start!A$253:A$273,0),0)&gt;0,VLOOKUP(B363,Start!A$253:F$273,3,FALSE)/100*Start!$F$4,VLOOKUP(WEEKDAY(B363,2),Start!A$240:F$246,6,FALSE))),"")</f>
        <v/>
      </c>
      <c r="E363">
        <f t="shared" ca="1" si="403"/>
        <v>0</v>
      </c>
      <c r="F363">
        <f>IFERROR(IF(YEAR(B363)=Start!$B$1,MONTH(B363),""),"")</f>
        <v>7</v>
      </c>
      <c r="G363" s="64" t="str">
        <f>IFERROR(VLOOKUP(B363,Start!A$111:B$273,2,FALSE),"")</f>
        <v/>
      </c>
      <c r="H363" s="21"/>
      <c r="I363" s="78">
        <v>0.33333333333333331</v>
      </c>
      <c r="J363" s="78">
        <v>0.33333333333333331</v>
      </c>
      <c r="K363" s="1" t="str">
        <f>IF(Start!$B$6="Ja","",IF(((J363-I363)*24)&gt;=5.5,"X",""))</f>
        <v/>
      </c>
      <c r="L363" s="1" t="str">
        <f>IF(_xlfn.IFNA(MATCH($A363,Start!$H$3:$H$11,0),0)&gt;0,"Ferie",IFERROR(IF(VLOOKUP(B363,Start!A$165:B$234,2,FALSE)&gt;0,"Fri",0),IF(AND((J363-I363)=0,Z363=""),"",MAX((IF(K363="X",(J363-I363)*24-0.5,(J363-I363)*24)),Z363))))</f>
        <v/>
      </c>
      <c r="M363" s="58"/>
      <c r="N363" s="21" t="str">
        <f t="shared" ref="N363:N369" si="410">IF(H363=0,"",H363)</f>
        <v/>
      </c>
      <c r="O363" s="21" t="str">
        <f t="shared" ref="O363:O369" si="411">IF(L363=0,"",L363)</f>
        <v/>
      </c>
      <c r="P363" s="2"/>
      <c r="Q363" s="21"/>
      <c r="R363" s="78">
        <v>0.33333333333333331</v>
      </c>
      <c r="S363" s="78">
        <v>0.33333333333333331</v>
      </c>
      <c r="T363" s="1" t="str">
        <f>IF(Start!$B$6="Ja","",IF(((S363-R363)*24)&gt;=5.5,"X",""))</f>
        <v/>
      </c>
      <c r="U363" s="1" t="str">
        <f>IF(_xlfn.IFNA(MATCH($A$15,Start!$H$3:$H$11,0),0)&gt;0,"Ferie",(IF(L363="fri","Fri",(IF(L363="syk","Syk",IF(L363="Ferie","Ferie",IF(AND((S363-R363)=0,AB363=""),"",MAX((IF(T363="X",(S363-R363)*24-0.5,(S363-R363)*24)),AB363))))))))</f>
        <v/>
      </c>
      <c r="V363" s="58"/>
      <c r="W363" s="21" t="str">
        <f t="shared" ref="W363:W369" si="412">IF(Q363=0,"",Q363)</f>
        <v/>
      </c>
      <c r="X363" s="21" t="str">
        <f t="shared" ref="X363:X369" si="413">IF(U363=0,"",U363)</f>
        <v/>
      </c>
      <c r="Z363" s="70" t="str">
        <f>IF(SUMIFS(TrackingTime!H:H,TrackingTime!F:F,Timer!B363,TrackingTime!C:C,"Hovedkontoret")&gt;0,SUMIFS(TrackingTime!H:H,TrackingTime!F:F,Timer!B363,TrackingTime!C:C,"Hovedkontoret"),"")</f>
        <v/>
      </c>
      <c r="AA363" s="71" t="str">
        <f t="shared" si="378"/>
        <v/>
      </c>
      <c r="AB363" t="str">
        <f>IF(SUMIFS(TrackingTime!H:H,TrackingTime!F:F,Timer!B363,TrackingTime!C:C,Start!$F$3)&gt;0,SUMIFS(TrackingTime!H:H,TrackingTime!F:F,Timer!B363,TrackingTime!C:C,Start!$F$3),"")</f>
        <v/>
      </c>
      <c r="AC363" s="71" t="str">
        <f t="shared" si="381"/>
        <v/>
      </c>
    </row>
    <row r="364" spans="1:29" x14ac:dyDescent="0.25">
      <c r="A364" s="15"/>
      <c r="B364" s="63">
        <f t="shared" ref="B364:B369" si="414">B363+DAY(1)</f>
        <v>46224</v>
      </c>
      <c r="C364" t="str">
        <f>IFERROR(IF(OR(L364="Fri",L364="Ferie",L364="Syk",L364="Omsorg",B364&lt;Start!$B$7),0,IF(IFERROR(MATCH(B364,Start!A$253:A$273,0),0)&gt;0,VLOOKUP(B364,Start!A$253:F$273,3,FALSE)/100*Start!$B$4,VLOOKUP(WEEKDAY(B364,2),Start!A$240:F$246,4,FALSE))),"")</f>
        <v/>
      </c>
      <c r="D364" t="str">
        <f>IFERROR(IF(OR(U364="Fri",U364="Ferie",U364="Syk",U364="Omsorg",B364&lt;Start!$F$7),0,IF(IFERROR(MATCH(B364,Start!A$253:A$273,0),0)&gt;0,VLOOKUP(B364,Start!A$253:F$273,3,FALSE)/100*Start!$F$4,VLOOKUP(WEEKDAY(B364,2),Start!A$240:F$246,6,FALSE))),"")</f>
        <v/>
      </c>
      <c r="E364">
        <f t="shared" ca="1" si="403"/>
        <v>0</v>
      </c>
      <c r="F364">
        <f>IFERROR(IF(YEAR(B364)=Start!$B$1,MONTH(B364),""),"")</f>
        <v>7</v>
      </c>
      <c r="G364" s="64" t="str">
        <f>IFERROR(VLOOKUP(B364,Start!A$111:B$273,2,FALSE),"")</f>
        <v/>
      </c>
      <c r="H364" s="21"/>
      <c r="I364" s="78">
        <v>0.33333333333333331</v>
      </c>
      <c r="J364" s="78">
        <v>0.33333333333333331</v>
      </c>
      <c r="K364" s="1" t="str">
        <f>IF(Start!$B$6="Ja","",IF(((J364-I364)*24)&gt;=5.5,"X",""))</f>
        <v/>
      </c>
      <c r="L364" s="1" t="str">
        <f>IF(_xlfn.IFNA(MATCH($A363,Start!$H$3:$H$11,0),0)&gt;0,"Ferie",IFERROR(IF(VLOOKUP($B364,Start!$A$165:$B$234,2,FALSE)&gt;0,"Fri",0),IF(AND((J364-I364)=0,Z364=""),"",MAX((IF(K364="X",(J364-I364)*24-0.5,(J364-I364)*24)),Z364))))</f>
        <v/>
      </c>
      <c r="M364" s="58"/>
      <c r="N364" s="21" t="str">
        <f t="shared" si="410"/>
        <v/>
      </c>
      <c r="O364" s="21" t="str">
        <f t="shared" si="411"/>
        <v/>
      </c>
      <c r="P364" s="2"/>
      <c r="Q364" s="21"/>
      <c r="R364" s="78">
        <v>0.33333333333333331</v>
      </c>
      <c r="S364" s="78">
        <v>0.33333333333333331</v>
      </c>
      <c r="T364" s="1" t="str">
        <f>IF(Start!$B$6="Ja","",IF(((S364-R364)*24)&gt;=5.5,"X",""))</f>
        <v/>
      </c>
      <c r="U364" s="1" t="str">
        <f>IF(_xlfn.IFNA(MATCH($A$15,Start!$H$3:$H$11,0),0)&gt;0,"Ferie",(IF(L364="fri","Fri",(IF(L364="syk","Syk",IF(L364="Ferie","Ferie",IF(AND((S364-R364)=0,AB364=""),"",MAX((IF(T364="X",(S364-R364)*24-0.5,(S364-R364)*24)),AB364))))))))</f>
        <v/>
      </c>
      <c r="V364" s="58"/>
      <c r="W364" s="21" t="str">
        <f t="shared" si="412"/>
        <v/>
      </c>
      <c r="X364" s="21" t="str">
        <f t="shared" si="413"/>
        <v/>
      </c>
      <c r="Z364" s="70" t="str">
        <f>IF(SUMIFS(TrackingTime!H:H,TrackingTime!F:F,Timer!B364,TrackingTime!C:C,"Hovedkontoret")&gt;0,SUMIFS(TrackingTime!H:H,TrackingTime!F:F,Timer!B364,TrackingTime!C:C,"Hovedkontoret"),"")</f>
        <v/>
      </c>
      <c r="AA364" s="71" t="str">
        <f t="shared" si="378"/>
        <v/>
      </c>
      <c r="AB364" t="str">
        <f>IF(SUMIFS(TrackingTime!H:H,TrackingTime!F:F,Timer!B364,TrackingTime!C:C,Start!$F$3)&gt;0,SUMIFS(TrackingTime!H:H,TrackingTime!F:F,Timer!B364,TrackingTime!C:C,Start!$F$3),"")</f>
        <v/>
      </c>
      <c r="AC364" s="71" t="str">
        <f t="shared" si="381"/>
        <v/>
      </c>
    </row>
    <row r="365" spans="1:29" x14ac:dyDescent="0.25">
      <c r="A365" s="15"/>
      <c r="B365" s="63">
        <f t="shared" si="414"/>
        <v>46225</v>
      </c>
      <c r="C365" t="str">
        <f>IFERROR(IF(OR(L365="Fri",L365="Ferie",L365="Syk",L365="Omsorg",B365&lt;Start!$B$7),0,IF(IFERROR(MATCH(B365,Start!A$253:A$273,0),0)&gt;0,VLOOKUP(B365,Start!A$253:F$273,3,FALSE)/100*Start!$B$4,VLOOKUP(WEEKDAY(B365,2),Start!A$240:F$246,4,FALSE))),"")</f>
        <v/>
      </c>
      <c r="D365" t="str">
        <f>IFERROR(IF(OR(U365="Fri",U365="Ferie",U365="Syk",U365="Omsorg",B365&lt;Start!$F$7),0,IF(IFERROR(MATCH(B365,Start!A$253:A$273,0),0)&gt;0,VLOOKUP(B365,Start!A$253:F$273,3,FALSE)/100*Start!$F$4,VLOOKUP(WEEKDAY(B365,2),Start!A$240:F$246,6,FALSE))),"")</f>
        <v/>
      </c>
      <c r="E365">
        <f t="shared" ca="1" si="403"/>
        <v>0</v>
      </c>
      <c r="F365">
        <f>IFERROR(IF(YEAR(B365)=Start!$B$1,MONTH(B365),""),"")</f>
        <v>7</v>
      </c>
      <c r="G365" s="64" t="str">
        <f>IFERROR(VLOOKUP(B365,Start!A$111:B$273,2,FALSE),"")</f>
        <v/>
      </c>
      <c r="H365" s="21"/>
      <c r="I365" s="78">
        <v>0.33333333333333331</v>
      </c>
      <c r="J365" s="78">
        <v>0.33333333333333331</v>
      </c>
      <c r="K365" s="1" t="str">
        <f>IF(Start!$B$6="Ja","",IF(((J365-I365)*24)&gt;=5.5,"X",""))</f>
        <v/>
      </c>
      <c r="L365" s="1" t="str">
        <f>IF(_xlfn.IFNA(MATCH($A363,Start!$H$3:$H$11,0),0)&gt;0,"Ferie",IFERROR(IF(VLOOKUP(B365,Start!A$165:B$234,2,FALSE)&gt;0,"Fri",0),IF(AND((J365-I365)=0,Z365=""),"",MAX((IF(K365="X",(J365-I365)*24-0.5,(J365-I365)*24)),Z365))))</f>
        <v/>
      </c>
      <c r="M365" s="58"/>
      <c r="N365" s="21" t="str">
        <f t="shared" si="410"/>
        <v/>
      </c>
      <c r="O365" s="21" t="str">
        <f t="shared" si="411"/>
        <v/>
      </c>
      <c r="P365" s="2"/>
      <c r="Q365" s="21"/>
      <c r="R365" s="78">
        <v>0.33333333333333331</v>
      </c>
      <c r="S365" s="78">
        <v>0.33333333333333331</v>
      </c>
      <c r="T365" s="1" t="str">
        <f>IF(Start!$B$6="Ja","",IF(((S365-R365)*24)&gt;=5.5,"X",""))</f>
        <v/>
      </c>
      <c r="U365" s="1" t="str">
        <f>IF(_xlfn.IFNA(MATCH($A$15,Start!$H$3:$H$11,0),0)&gt;0,"Ferie",(IF(L365="fri","Fri",(IF(L365="syk","Syk",IF(L365="Ferie","Ferie",IF(AND((S365-R365)=0,AB365=""),"",MAX((IF(T365="X",(S365-R365)*24-0.5,(S365-R365)*24)),AB365))))))))</f>
        <v/>
      </c>
      <c r="V365" s="58"/>
      <c r="W365" s="21" t="str">
        <f t="shared" si="412"/>
        <v/>
      </c>
      <c r="X365" s="21" t="str">
        <f t="shared" si="413"/>
        <v/>
      </c>
      <c r="Z365" s="70" t="str">
        <f>IF(SUMIFS(TrackingTime!H:H,TrackingTime!F:F,Timer!B365,TrackingTime!C:C,"Hovedkontoret")&gt;0,SUMIFS(TrackingTime!H:H,TrackingTime!F:F,Timer!B365,TrackingTime!C:C,"Hovedkontoret"),"")</f>
        <v/>
      </c>
      <c r="AA365" s="71" t="str">
        <f t="shared" si="378"/>
        <v/>
      </c>
      <c r="AB365" t="str">
        <f>IF(SUMIFS(TrackingTime!H:H,TrackingTime!F:F,Timer!B365,TrackingTime!C:C,Start!$F$3)&gt;0,SUMIFS(TrackingTime!H:H,TrackingTime!F:F,Timer!B365,TrackingTime!C:C,Start!$F$3),"")</f>
        <v/>
      </c>
      <c r="AC365" s="71" t="str">
        <f t="shared" si="381"/>
        <v/>
      </c>
    </row>
    <row r="366" spans="1:29" x14ac:dyDescent="0.25">
      <c r="A366" s="15"/>
      <c r="B366" s="63">
        <f t="shared" si="414"/>
        <v>46226</v>
      </c>
      <c r="C366" t="str">
        <f>IFERROR(IF(OR(L366="Fri",L366="Ferie",L366="Syk",L366="Omsorg",B366&lt;Start!$B$7),0,IF(IFERROR(MATCH(B366,Start!A$253:A$273,0),0)&gt;0,VLOOKUP(B366,Start!A$253:F$273,3,FALSE)/100*Start!$B$4,VLOOKUP(WEEKDAY(B366,2),Start!A$240:F$246,4,FALSE))),"")</f>
        <v/>
      </c>
      <c r="D366" t="str">
        <f>IFERROR(IF(OR(U366="Fri",U366="Ferie",U366="Syk",U366="Omsorg",B366&lt;Start!$F$7),0,IF(IFERROR(MATCH(B366,Start!A$253:A$273,0),0)&gt;0,VLOOKUP(B366,Start!A$253:F$273,3,FALSE)/100*Start!$F$4,VLOOKUP(WEEKDAY(B366,2),Start!A$240:F$246,6,FALSE))),"")</f>
        <v/>
      </c>
      <c r="E366">
        <f t="shared" ca="1" si="403"/>
        <v>0</v>
      </c>
      <c r="F366">
        <f>IFERROR(IF(YEAR(B366)=Start!$B$1,MONTH(B366),""),"")</f>
        <v>7</v>
      </c>
      <c r="G366" s="64" t="str">
        <f>IFERROR(VLOOKUP(B366,Start!A$111:B$273,2,FALSE),"")</f>
        <v/>
      </c>
      <c r="H366" s="21"/>
      <c r="I366" s="78">
        <v>0.33333333333333331</v>
      </c>
      <c r="J366" s="78">
        <v>0.33333333333333331</v>
      </c>
      <c r="K366" s="1" t="str">
        <f>IF(Start!$B$6="Ja","",IF(((J366-I366)*24)&gt;=5.5,"X",""))</f>
        <v/>
      </c>
      <c r="L366" s="1" t="str">
        <f>IF(_xlfn.IFNA(MATCH($A363,Start!$H$3:$H$11,0),0)&gt;0,"Ferie",IFERROR(IF(VLOOKUP(B366,Start!A$165:B$234,2,FALSE)&gt;0,"Fri",0),IF(AND((J366-I366)=0,Z366=""),"",MAX((IF(K366="X",(J366-I366)*24-0.5,(J366-I366)*24)),Z366))))</f>
        <v/>
      </c>
      <c r="M366" s="58"/>
      <c r="N366" s="21" t="str">
        <f t="shared" si="410"/>
        <v/>
      </c>
      <c r="O366" s="21" t="str">
        <f t="shared" si="411"/>
        <v/>
      </c>
      <c r="P366" s="2"/>
      <c r="Q366" s="21"/>
      <c r="R366" s="78">
        <v>0.33333333333333331</v>
      </c>
      <c r="S366" s="78">
        <v>0.33333333333333331</v>
      </c>
      <c r="T366" s="1" t="str">
        <f>IF(Start!$B$6="Ja","",IF(((S366-R366)*24)&gt;=5.5,"X",""))</f>
        <v/>
      </c>
      <c r="U366" s="1" t="str">
        <f>IF(_xlfn.IFNA(MATCH($A$15,Start!$H$3:$H$11,0),0)&gt;0,"Ferie",(IF(L366="fri","Fri",(IF(L366="syk","Syk",IF(L366="Ferie","Ferie",IF(AND((S366-R366)=0,AB366=""),"",MAX((IF(T366="X",(S366-R366)*24-0.5,(S366-R366)*24)),AB366))))))))</f>
        <v/>
      </c>
      <c r="V366" s="58"/>
      <c r="W366" s="21" t="str">
        <f t="shared" si="412"/>
        <v/>
      </c>
      <c r="X366" s="21" t="str">
        <f t="shared" si="413"/>
        <v/>
      </c>
      <c r="Z366" s="70" t="str">
        <f>IF(SUMIFS(TrackingTime!H:H,TrackingTime!F:F,Timer!B366,TrackingTime!C:C,"Hovedkontoret")&gt;0,SUMIFS(TrackingTime!H:H,TrackingTime!F:F,Timer!B366,TrackingTime!C:C,"Hovedkontoret"),"")</f>
        <v/>
      </c>
      <c r="AA366" s="71" t="str">
        <f t="shared" si="378"/>
        <v/>
      </c>
      <c r="AB366" t="str">
        <f>IF(SUMIFS(TrackingTime!H:H,TrackingTime!F:F,Timer!B366,TrackingTime!C:C,Start!$F$3)&gt;0,SUMIFS(TrackingTime!H:H,TrackingTime!F:F,Timer!B366,TrackingTime!C:C,Start!$F$3),"")</f>
        <v/>
      </c>
      <c r="AC366" s="71" t="str">
        <f t="shared" si="381"/>
        <v/>
      </c>
    </row>
    <row r="367" spans="1:29" x14ac:dyDescent="0.25">
      <c r="A367" s="15"/>
      <c r="B367" s="63">
        <f t="shared" si="414"/>
        <v>46227</v>
      </c>
      <c r="C367" t="str">
        <f>IFERROR(IF(OR(L367="Fri",L367="Ferie",L367="Syk",L367="Omsorg",B367&lt;Start!$B$7),0,IF(IFERROR(MATCH(B367,Start!A$253:A$273,0),0)&gt;0,VLOOKUP(B367,Start!A$253:F$273,3,FALSE)/100*Start!$B$4,VLOOKUP(WEEKDAY(B367,2),Start!A$240:F$246,4,FALSE))),"")</f>
        <v/>
      </c>
      <c r="D367" t="str">
        <f>IFERROR(IF(OR(U367="Fri",U367="Ferie",U367="Syk",U367="Omsorg",B367&lt;Start!$F$7),0,IF(IFERROR(MATCH(B367,Start!A$253:A$273,0),0)&gt;0,VLOOKUP(B367,Start!A$253:F$273,3,FALSE)/100*Start!$F$4,VLOOKUP(WEEKDAY(B367,2),Start!A$240:F$246,6,FALSE))),"")</f>
        <v/>
      </c>
      <c r="E367">
        <f t="shared" ca="1" si="403"/>
        <v>0</v>
      </c>
      <c r="F367">
        <f>IFERROR(IF(YEAR(B367)=Start!$B$1,MONTH(B367),""),"")</f>
        <v>7</v>
      </c>
      <c r="G367" s="64" t="str">
        <f>IFERROR(VLOOKUP(B367,Start!A$111:B$273,2,FALSE),"")</f>
        <v/>
      </c>
      <c r="H367" s="21"/>
      <c r="I367" s="78">
        <v>0.33333333333333331</v>
      </c>
      <c r="J367" s="78">
        <v>0.33333333333333331</v>
      </c>
      <c r="K367" s="1" t="str">
        <f>IF(Start!$B$6="Ja","",IF(((J367-I367)*24)&gt;=5.5,"X",""))</f>
        <v/>
      </c>
      <c r="L367" s="1" t="str">
        <f>IF(_xlfn.IFNA(MATCH($A363,Start!$H$3:$H$11,0),0)&gt;0,"Ferie",IFERROR(IF(VLOOKUP(B367,Start!A$165:B$234,2,FALSE)&gt;0,"Fri",0),IF(AND((J367-I367)=0,Z367=""),"",MAX((IF(K367="X",(J367-I367)*24-0.5,(J367-I367)*24)),Z367))))</f>
        <v/>
      </c>
      <c r="M367" s="58"/>
      <c r="N367" s="21" t="str">
        <f t="shared" si="410"/>
        <v/>
      </c>
      <c r="O367" s="21" t="str">
        <f t="shared" si="411"/>
        <v/>
      </c>
      <c r="P367" s="2"/>
      <c r="Q367" s="21"/>
      <c r="R367" s="78">
        <v>0.33333333333333331</v>
      </c>
      <c r="S367" s="78">
        <v>0.33333333333333331</v>
      </c>
      <c r="T367" s="1" t="str">
        <f>IF(Start!$B$6="Ja","",IF(((S367-R367)*24)&gt;=5.5,"X",""))</f>
        <v/>
      </c>
      <c r="U367" s="1" t="str">
        <f>IF(_xlfn.IFNA(MATCH($A$15,Start!$H$3:$H$11,0),0)&gt;0,"Ferie",(IF(L367="fri","Fri",(IF(L367="syk","Syk",IF(L367="Ferie","Ferie",IF(AND((S367-R367)=0,AB367=""),"",MAX((IF(T367="X",(S367-R367)*24-0.5,(S367-R367)*24)),AB367))))))))</f>
        <v/>
      </c>
      <c r="V367" s="58"/>
      <c r="W367" s="21" t="str">
        <f t="shared" si="412"/>
        <v/>
      </c>
      <c r="X367" s="21" t="str">
        <f t="shared" si="413"/>
        <v/>
      </c>
      <c r="Z367" s="70" t="str">
        <f>IF(SUMIFS(TrackingTime!H:H,TrackingTime!F:F,Timer!B367,TrackingTime!C:C,"Hovedkontoret")&gt;0,SUMIFS(TrackingTime!H:H,TrackingTime!F:F,Timer!B367,TrackingTime!C:C,"Hovedkontoret"),"")</f>
        <v/>
      </c>
      <c r="AA367" s="71" t="str">
        <f t="shared" si="378"/>
        <v/>
      </c>
      <c r="AB367" t="str">
        <f>IF(SUMIFS(TrackingTime!H:H,TrackingTime!F:F,Timer!B367,TrackingTime!C:C,Start!$F$3)&gt;0,SUMIFS(TrackingTime!H:H,TrackingTime!F:F,Timer!B367,TrackingTime!C:C,Start!$F$3),"")</f>
        <v/>
      </c>
      <c r="AC367" s="71" t="str">
        <f t="shared" si="381"/>
        <v/>
      </c>
    </row>
    <row r="368" spans="1:29" x14ac:dyDescent="0.25">
      <c r="A368" s="15"/>
      <c r="B368" s="63">
        <f t="shared" si="414"/>
        <v>46228</v>
      </c>
      <c r="C368">
        <f>IFERROR(IF(OR(L368="Fri",L368="Ferie",L368="Syk",L368="Omsorg",B368&lt;Start!$B$7),0,IF(IFERROR(MATCH(B368,Start!A$253:A$273,0),0)&gt;0,VLOOKUP(B368,Start!A$253:F$273,3,FALSE)/100*Start!$B$4,VLOOKUP(WEEKDAY(B368,2),Start!A$240:F$246,4,FALSE))),"")</f>
        <v>0</v>
      </c>
      <c r="D368">
        <f>IFERROR(IF(OR(U368="Fri",U368="Ferie",U368="Syk",U368="Omsorg",B368&lt;Start!$F$7),0,IF(IFERROR(MATCH(B368,Start!A$253:A$273,0),0)&gt;0,VLOOKUP(B368,Start!A$253:F$273,3,FALSE)/100*Start!$F$4,VLOOKUP(WEEKDAY(B368,2),Start!A$240:F$246,6,FALSE))),"")</f>
        <v>0</v>
      </c>
      <c r="E368">
        <f t="shared" ca="1" si="403"/>
        <v>0</v>
      </c>
      <c r="F368">
        <f>IFERROR(IF(YEAR(B368)=Start!$B$1,MONTH(B368),""),"")</f>
        <v>7</v>
      </c>
      <c r="G368" s="64" t="str">
        <f>IFERROR(VLOOKUP(B368,Start!A$111:B$273,2,FALSE),"")</f>
        <v/>
      </c>
      <c r="H368" s="21"/>
      <c r="I368" s="78">
        <v>0.41666666666666669</v>
      </c>
      <c r="J368" s="78">
        <v>0.41666666666666669</v>
      </c>
      <c r="K368" s="1" t="str">
        <f>IF(Start!$B$6="Ja","",IF(((J368-I368)*24)&gt;=5.5,"X",""))</f>
        <v/>
      </c>
      <c r="L368" s="1" t="str">
        <f t="shared" ref="L368:L369" si="415">IF(AND((J368-I368)=0,Z368=""),"",MAX((IF(K368="X",(J368-I368)*24-0.5,(J368-I368)*24)),Z368))</f>
        <v/>
      </c>
      <c r="M368" s="58"/>
      <c r="N368" s="21" t="str">
        <f t="shared" si="410"/>
        <v/>
      </c>
      <c r="O368" s="21" t="str">
        <f t="shared" si="411"/>
        <v/>
      </c>
      <c r="P368" s="2"/>
      <c r="Q368" s="21"/>
      <c r="R368" s="78">
        <v>0.41666666666666669</v>
      </c>
      <c r="S368" s="78">
        <v>0.41666666666666669</v>
      </c>
      <c r="T368" s="1" t="str">
        <f>IF(Start!$B$6="Ja","",IF(((S368-R368)*24)&gt;=5.5,"X",""))</f>
        <v/>
      </c>
      <c r="U368" s="1" t="str">
        <f t="shared" ref="U368:U369" si="416">IF(AND((S368-R368)=0,AB368=""),"",MAX((IF(T368="X",(S368-R368)*24-0.5,(S368-R368)*24)),AB368))</f>
        <v/>
      </c>
      <c r="V368" s="58"/>
      <c r="W368" s="21" t="str">
        <f t="shared" si="412"/>
        <v/>
      </c>
      <c r="X368" s="21" t="str">
        <f t="shared" si="413"/>
        <v/>
      </c>
      <c r="Z368" s="70" t="str">
        <f>IF(SUMIFS(TrackingTime!H:H,TrackingTime!F:F,Timer!B368,TrackingTime!C:C,"Hovedkontoret")&gt;0,SUMIFS(TrackingTime!H:H,TrackingTime!F:F,Timer!B368,TrackingTime!C:C,"Hovedkontoret"),"")</f>
        <v/>
      </c>
      <c r="AA368" s="71" t="str">
        <f t="shared" si="378"/>
        <v/>
      </c>
      <c r="AB368" t="str">
        <f>IF(SUMIFS(TrackingTime!H:H,TrackingTime!F:F,Timer!B368,TrackingTime!C:C,Start!$F$3)&gt;0,SUMIFS(TrackingTime!H:H,TrackingTime!F:F,Timer!B368,TrackingTime!C:C,Start!$F$3),"")</f>
        <v/>
      </c>
      <c r="AC368" s="71" t="str">
        <f t="shared" si="381"/>
        <v/>
      </c>
    </row>
    <row r="369" spans="1:29" x14ac:dyDescent="0.25">
      <c r="A369" s="15"/>
      <c r="B369" s="63">
        <f t="shared" si="414"/>
        <v>46229</v>
      </c>
      <c r="C369">
        <f>IFERROR(IF(OR(L369="Fri",L369="Ferie",L369="Syk",L369="Omsorg",B369&lt;Start!$B$7),0,IF(IFERROR(MATCH(B369,Start!A$253:A$273,0),0)&gt;0,VLOOKUP(B369,Start!A$253:F$273,3,FALSE)/100*Start!$B$4,VLOOKUP(WEEKDAY(B369,2),Start!A$240:F$246,4,FALSE))),"")</f>
        <v>0</v>
      </c>
      <c r="D369">
        <f>IFERROR(IF(OR(U369="Fri",U369="Ferie",U369="Syk",U369="Omsorg",B369&lt;Start!$F$7),0,IF(IFERROR(MATCH(B369,Start!A$253:A$273,0),0)&gt;0,VLOOKUP(B369,Start!A$253:F$273,3,FALSE)/100*Start!$F$4,VLOOKUP(WEEKDAY(B369,2),Start!A$240:F$246,6,FALSE))),"")</f>
        <v>0</v>
      </c>
      <c r="E369">
        <f t="shared" ca="1" si="403"/>
        <v>0</v>
      </c>
      <c r="F369">
        <f>IFERROR(IF(YEAR(B369)=Start!$B$1,MONTH(B369),""),"")</f>
        <v>7</v>
      </c>
      <c r="G369" s="64" t="str">
        <f>IFERROR(VLOOKUP(B369,Start!A$111:B$273,2,FALSE),"")</f>
        <v/>
      </c>
      <c r="H369" s="25"/>
      <c r="I369" s="78">
        <v>0.41666666666666669</v>
      </c>
      <c r="J369" s="78">
        <v>0.41666666666666669</v>
      </c>
      <c r="K369" s="1" t="str">
        <f>IF(Start!$B$6="Ja","",IF(((J369-I369)*24)&gt;=5.5,"X",""))</f>
        <v/>
      </c>
      <c r="L369" s="1" t="str">
        <f t="shared" si="415"/>
        <v/>
      </c>
      <c r="M369" s="58"/>
      <c r="N369" s="21" t="str">
        <f t="shared" si="410"/>
        <v/>
      </c>
      <c r="O369" s="21" t="str">
        <f t="shared" si="411"/>
        <v/>
      </c>
      <c r="Q369" s="25"/>
      <c r="R369" s="78">
        <v>0.41666666666666669</v>
      </c>
      <c r="S369" s="78">
        <v>0.41666666666666669</v>
      </c>
      <c r="T369" s="1" t="str">
        <f>IF(Start!$B$6="Ja","",IF(((S369-R369)*24)&gt;=5.5,"X",""))</f>
        <v/>
      </c>
      <c r="U369" s="1" t="str">
        <f t="shared" si="416"/>
        <v/>
      </c>
      <c r="V369" s="58"/>
      <c r="W369" s="21" t="str">
        <f t="shared" si="412"/>
        <v/>
      </c>
      <c r="X369" s="21" t="str">
        <f t="shared" si="413"/>
        <v/>
      </c>
      <c r="Z369" s="70" t="str">
        <f>IF(SUMIFS(TrackingTime!H:H,TrackingTime!F:F,Timer!B369,TrackingTime!C:C,"Hovedkontoret")&gt;0,SUMIFS(TrackingTime!H:H,TrackingTime!F:F,Timer!B369,TrackingTime!C:C,"Hovedkontoret"),"")</f>
        <v/>
      </c>
      <c r="AA369" s="71" t="str">
        <f t="shared" si="378"/>
        <v/>
      </c>
      <c r="AB369" t="str">
        <f>IF(SUMIFS(TrackingTime!H:H,TrackingTime!F:F,Timer!B369,TrackingTime!C:C,Start!$F$3)&gt;0,SUMIFS(TrackingTime!H:H,TrackingTime!F:F,Timer!B369,TrackingTime!C:C,Start!$F$3),"")</f>
        <v/>
      </c>
      <c r="AC369" s="71" t="str">
        <f t="shared" si="381"/>
        <v/>
      </c>
    </row>
    <row r="370" spans="1:29" x14ac:dyDescent="0.25">
      <c r="A370" s="15"/>
      <c r="B370" s="4" t="s">
        <v>11</v>
      </c>
      <c r="C370" s="24"/>
      <c r="D370" s="24"/>
      <c r="E370" s="24">
        <f t="shared" ca="1" si="403"/>
        <v>0</v>
      </c>
      <c r="F370" s="24" t="str">
        <f>IFERROR(IF(YEAR(B370)=Start!$B$1,MONTH(B370),""),"")</f>
        <v/>
      </c>
      <c r="G370" s="64" t="str">
        <f>IFERROR(VLOOKUP(B370,Start!A$111:B$273,2,FALSE),"")</f>
        <v/>
      </c>
      <c r="H370" s="4"/>
      <c r="I370" s="4"/>
      <c r="J370" s="4"/>
      <c r="K370" s="4"/>
      <c r="L370" s="5">
        <f t="shared" si="345"/>
        <v>0</v>
      </c>
      <c r="N370" s="24"/>
      <c r="O370" s="39">
        <f t="shared" ref="O370" si="417">SUM(O363:O369)</f>
        <v>0</v>
      </c>
      <c r="P370" s="40"/>
      <c r="Q370" s="41"/>
      <c r="R370" s="4"/>
      <c r="S370" s="4"/>
      <c r="T370" s="4"/>
      <c r="U370" s="5">
        <f t="shared" ref="U370" si="418">SUM($U363:$U369)</f>
        <v>0</v>
      </c>
      <c r="V370" s="58"/>
      <c r="W370" s="39"/>
      <c r="X370" s="39">
        <f t="shared" si="391"/>
        <v>0</v>
      </c>
      <c r="Z370" s="70" t="str">
        <f>IF(SUMIFS(TrackingTime!H:H,TrackingTime!F:F,Timer!B370,TrackingTime!C:C,"Hovedkontoret")&gt;0,SUMIFS(TrackingTime!H:H,TrackingTime!F:F,Timer!B370,TrackingTime!C:C,"Hovedkontoret"),"")</f>
        <v/>
      </c>
      <c r="AA370" s="71" t="str">
        <f t="shared" si="378"/>
        <v/>
      </c>
      <c r="AB370" t="str">
        <f>IF(SUMIFS(TrackingTime!H:H,TrackingTime!F:F,Timer!B370,TrackingTime!C:C,Start!$F$3)&gt;0,SUMIFS(TrackingTime!H:H,TrackingTime!F:F,Timer!B370,TrackingTime!C:C,Start!$F$3),"")</f>
        <v/>
      </c>
      <c r="AC370" s="71" t="str">
        <f t="shared" si="381"/>
        <v/>
      </c>
    </row>
    <row r="371" spans="1:29" x14ac:dyDescent="0.25">
      <c r="A371" s="15"/>
      <c r="B371" t="s">
        <v>90</v>
      </c>
      <c r="E371">
        <f t="shared" ca="1" si="403"/>
        <v>0</v>
      </c>
      <c r="F371" t="str">
        <f>IFERROR(IF(YEAR(B371)=Start!$B$1,MONTH(B371),""),"")</f>
        <v/>
      </c>
      <c r="G371" s="64" t="str">
        <f>IFERROR(VLOOKUP(B371,Start!A$111:B$273,2,FALSE),"")</f>
        <v/>
      </c>
      <c r="L371" s="1">
        <f t="shared" si="348"/>
        <v>0</v>
      </c>
      <c r="M371" s="1"/>
      <c r="N371" s="1"/>
      <c r="O371" s="21">
        <f t="shared" ref="O371" si="419">L371</f>
        <v>0</v>
      </c>
      <c r="P371" s="40"/>
      <c r="Q371" s="21"/>
      <c r="U371" s="1">
        <f t="shared" ref="U371" si="420">SUMIFS(D363:D369,F363:F369,"&gt;0")</f>
        <v>0</v>
      </c>
      <c r="V371" s="1"/>
      <c r="W371" s="1"/>
      <c r="X371" s="21">
        <f>U371</f>
        <v>0</v>
      </c>
      <c r="Z371" s="70" t="str">
        <f>IF(SUMIFS(TrackingTime!H:H,TrackingTime!F:F,Timer!B371,TrackingTime!C:C,"Hovedkontoret")&gt;0,SUMIFS(TrackingTime!H:H,TrackingTime!F:F,Timer!B371,TrackingTime!C:C,"Hovedkontoret"),"")</f>
        <v/>
      </c>
      <c r="AA371" s="71" t="str">
        <f t="shared" si="378"/>
        <v/>
      </c>
      <c r="AB371" t="str">
        <f>IF(SUMIFS(TrackingTime!H:H,TrackingTime!F:F,Timer!B371,TrackingTime!C:C,Start!$F$3)&gt;0,SUMIFS(TrackingTime!H:H,TrackingTime!F:F,Timer!B371,TrackingTime!C:C,Start!$F$3),"")</f>
        <v/>
      </c>
      <c r="AC371" s="71" t="str">
        <f t="shared" si="381"/>
        <v/>
      </c>
    </row>
    <row r="372" spans="1:29" x14ac:dyDescent="0.25">
      <c r="A372" s="16">
        <f>B369-B363-1</f>
        <v>5</v>
      </c>
      <c r="B372" t="s">
        <v>117</v>
      </c>
      <c r="E372">
        <f t="shared" ca="1" si="403"/>
        <v>0</v>
      </c>
      <c r="F372" t="str">
        <f>IFERROR(IF(YEAR(B372)=Start!$B$1,MONTH(B372),""),"")</f>
        <v/>
      </c>
      <c r="G372" s="64" t="str">
        <f>IFERROR(VLOOKUP(B372,Start!A$111:B$273,2,FALSE),"")</f>
        <v/>
      </c>
      <c r="L372" s="77">
        <f t="shared" ca="1" si="351"/>
        <v>0</v>
      </c>
      <c r="O372" s="21">
        <f t="shared" ref="O372" si="421">O370-O371</f>
        <v>0</v>
      </c>
      <c r="P372" s="21"/>
      <c r="Q372" s="21"/>
      <c r="U372" s="1">
        <f t="shared" ref="U372" ca="1" si="422">U370-U371*(IF(NETWORKDAYS($B363,TODAY())&lt;0,0,IF(NETWORKDAYS($B363,TODAY())&lt;=$A372,NETWORKDAYS($B363,TODAY()),$A372)))/$A372</f>
        <v>0</v>
      </c>
      <c r="V372" s="58"/>
      <c r="W372" s="21"/>
      <c r="X372" s="21">
        <f>X370-X371</f>
        <v>0</v>
      </c>
      <c r="Z372" s="70" t="str">
        <f>IF(SUMIFS(TrackingTime!H:H,TrackingTime!F:F,Timer!B372,TrackingTime!C:C,"Hovedkontoret")&gt;0,SUMIFS(TrackingTime!H:H,TrackingTime!F:F,Timer!B372,TrackingTime!C:C,"Hovedkontoret"),"")</f>
        <v/>
      </c>
      <c r="AA372" s="71" t="str">
        <f t="shared" si="378"/>
        <v/>
      </c>
      <c r="AB372" t="str">
        <f>IF(SUMIFS(TrackingTime!H:H,TrackingTime!F:F,Timer!B372,TrackingTime!C:C,Start!$F$3)&gt;0,SUMIFS(TrackingTime!H:H,TrackingTime!F:F,Timer!B372,TrackingTime!C:C,Start!$F$3),"")</f>
        <v/>
      </c>
      <c r="AC372" s="71" t="str">
        <f t="shared" si="381"/>
        <v/>
      </c>
    </row>
    <row r="373" spans="1:29" x14ac:dyDescent="0.25">
      <c r="A373" s="15"/>
      <c r="E373">
        <f t="shared" ca="1" si="403"/>
        <v>1</v>
      </c>
      <c r="F373" t="str">
        <f>IFERROR(IF(YEAR(B373)=Start!$B$1,MONTH(B373),""),"")</f>
        <v/>
      </c>
      <c r="G373" s="64" t="str">
        <f>IFERROR(VLOOKUP(B373,Start!A$111:B$273,2,FALSE),"")</f>
        <v/>
      </c>
      <c r="O373" s="2"/>
      <c r="P373" s="2"/>
      <c r="U373" s="1"/>
      <c r="V373" s="7"/>
      <c r="X373" s="2"/>
      <c r="Z373" s="70" t="str">
        <f>IF(SUMIFS(TrackingTime!H:H,TrackingTime!F:F,Timer!B373,TrackingTime!C:C,"Hovedkontoret")&gt;0,SUMIFS(TrackingTime!H:H,TrackingTime!F:F,Timer!B373,TrackingTime!C:C,"Hovedkontoret"),"")</f>
        <v/>
      </c>
      <c r="AA373" s="71" t="str">
        <f t="shared" si="378"/>
        <v/>
      </c>
      <c r="AB373" t="str">
        <f>IF(SUMIFS(TrackingTime!H:H,TrackingTime!F:F,Timer!B373,TrackingTime!C:C,Start!$F$3)&gt;0,SUMIFS(TrackingTime!H:H,TrackingTime!F:F,Timer!B373,TrackingTime!C:C,Start!$F$3),"")</f>
        <v/>
      </c>
      <c r="AC373" s="71" t="str">
        <f t="shared" si="381"/>
        <v/>
      </c>
    </row>
    <row r="374" spans="1:29" x14ac:dyDescent="0.25">
      <c r="A374" s="2" t="s">
        <v>82</v>
      </c>
      <c r="B374" s="14" t="s">
        <v>83</v>
      </c>
      <c r="E374">
        <f t="shared" ca="1" si="403"/>
        <v>0</v>
      </c>
      <c r="F374" t="str">
        <f>IFERROR(IF(YEAR(B374)=Start!$B$1,MONTH(B374),""),"")</f>
        <v/>
      </c>
      <c r="G374" s="64" t="str">
        <f>IFERROR(VLOOKUP(B374,Start!A$111:B$273,2,FALSE),"")</f>
        <v/>
      </c>
      <c r="H374" s="2" t="s">
        <v>86</v>
      </c>
      <c r="I374" s="2" t="s">
        <v>125</v>
      </c>
      <c r="J374" s="2" t="s">
        <v>126</v>
      </c>
      <c r="K374" s="2" t="s">
        <v>127</v>
      </c>
      <c r="L374" s="3" t="s">
        <v>87</v>
      </c>
      <c r="M374" s="6"/>
      <c r="N374" s="2" t="s">
        <v>88</v>
      </c>
      <c r="O374" s="2" t="s">
        <v>89</v>
      </c>
      <c r="P374" s="2"/>
      <c r="Q374" s="2" t="s">
        <v>86</v>
      </c>
      <c r="R374" s="2" t="s">
        <v>125</v>
      </c>
      <c r="S374" s="2" t="s">
        <v>126</v>
      </c>
      <c r="T374" s="2" t="s">
        <v>127</v>
      </c>
      <c r="U374" s="3" t="s">
        <v>87</v>
      </c>
      <c r="V374" s="6"/>
      <c r="W374" s="2" t="s">
        <v>88</v>
      </c>
      <c r="X374" s="2" t="s">
        <v>89</v>
      </c>
      <c r="Z374" s="70" t="str">
        <f>IF(SUMIFS(TrackingTime!H:H,TrackingTime!F:F,Timer!B374,TrackingTime!C:C,"Hovedkontoret")&gt;0,SUMIFS(TrackingTime!H:H,TrackingTime!F:F,Timer!B374,TrackingTime!C:C,"Hovedkontoret"),"")</f>
        <v/>
      </c>
      <c r="AA374" s="71" t="str">
        <f t="shared" si="378"/>
        <v/>
      </c>
      <c r="AB374" t="str">
        <f>IF(SUMIFS(TrackingTime!H:H,TrackingTime!F:F,Timer!B374,TrackingTime!C:C,Start!$F$3)&gt;0,SUMIFS(TrackingTime!H:H,TrackingTime!F:F,Timer!B374,TrackingTime!C:C,Start!$F$3),"")</f>
        <v/>
      </c>
      <c r="AC374" s="71" t="str">
        <f t="shared" si="381"/>
        <v/>
      </c>
    </row>
    <row r="375" spans="1:29" x14ac:dyDescent="0.25">
      <c r="A375" s="15">
        <f>WEEKNUM(B375,21)</f>
        <v>31</v>
      </c>
      <c r="B375" s="63">
        <f>B369+(DAY(1))</f>
        <v>46230</v>
      </c>
      <c r="C375" t="str">
        <f>IFERROR(IF(OR(L375="Fri",L375="Ferie",L375="Syk",L375="Omsorg",B375&lt;Start!$B$7),0,IF(IFERROR(MATCH(B375,Start!A$253:A$273,0),0)&gt;0,VLOOKUP(B375,Start!A$253:F$273,3,FALSE)/100*Start!$B$4,VLOOKUP(WEEKDAY(B375,2),Start!A$240:F$246,4,FALSE))),"")</f>
        <v/>
      </c>
      <c r="D375" t="str">
        <f>IFERROR(IF(OR(U375="Fri",U375="Ferie",U375="Syk",U375="Omsorg",B375&lt;Start!$F$7),0,IF(IFERROR(MATCH(B375,Start!A$253:A$273,0),0)&gt;0,VLOOKUP(B375,Start!A$253:F$273,3,FALSE)/100*Start!$F$4,VLOOKUP(WEEKDAY(B375,2),Start!A$240:F$246,6,FALSE))),"")</f>
        <v/>
      </c>
      <c r="E375">
        <f t="shared" ca="1" si="403"/>
        <v>0</v>
      </c>
      <c r="F375">
        <f>IFERROR(IF(YEAR(B375)=Start!$B$1,MONTH(B375),""),"")</f>
        <v>7</v>
      </c>
      <c r="G375" s="64" t="str">
        <f>IFERROR(VLOOKUP(B375,Start!A$111:B$273,2,FALSE),"")</f>
        <v/>
      </c>
      <c r="H375" s="21"/>
      <c r="I375" s="78">
        <v>0.33333333333333331</v>
      </c>
      <c r="J375" s="78">
        <v>0.33333333333333331</v>
      </c>
      <c r="K375" s="1" t="str">
        <f>IF(Start!$B$6="Ja","",IF(((J375-I375)*24)&gt;=5.5,"X",""))</f>
        <v/>
      </c>
      <c r="L375" s="1" t="str">
        <f>IF(_xlfn.IFNA(MATCH($A375,Start!$H$3:$H$11,0),0)&gt;0,"Ferie",IFERROR(IF(VLOOKUP(B375,Start!A$165:B$234,2,FALSE)&gt;0,"Fri",0),IF(AND((J375-I375)=0,Z375=""),"",MAX((IF(K375="X",(J375-I375)*24-0.5,(J375-I375)*24)),Z375))))</f>
        <v/>
      </c>
      <c r="M375" s="58"/>
      <c r="N375" s="21" t="str">
        <f t="shared" ref="N375:N381" si="423">IF(H375=0,"",H375)</f>
        <v/>
      </c>
      <c r="O375" s="21" t="str">
        <f t="shared" ref="O375:O381" si="424">IF(L375=0,"",L375)</f>
        <v/>
      </c>
      <c r="P375" s="2"/>
      <c r="Q375" s="21"/>
      <c r="R375" s="78">
        <v>0.33333333333333331</v>
      </c>
      <c r="S375" s="78">
        <v>0.33333333333333331</v>
      </c>
      <c r="T375" s="1" t="str">
        <f>IF(Start!$B$6="Ja","",IF(((S375-R375)*24)&gt;=5.5,"X",""))</f>
        <v/>
      </c>
      <c r="U375" s="1" t="str">
        <f>IF(_xlfn.IFNA(MATCH($A$15,Start!$H$3:$H$11,0),0)&gt;0,"Ferie",(IF(L375="fri","Fri",(IF(L375="syk","Syk",IF(L375="Ferie","Ferie",IF(AND((S375-R375)=0,AB375=""),"",MAX((IF(T375="X",(S375-R375)*24-0.5,(S375-R375)*24)),AB375))))))))</f>
        <v/>
      </c>
      <c r="V375" s="58"/>
      <c r="W375" s="21" t="str">
        <f t="shared" ref="W375:W381" si="425">IF(Q375=0,"",Q375)</f>
        <v/>
      </c>
      <c r="X375" s="21" t="str">
        <f t="shared" ref="X375:X381" si="426">IF(U375=0,"",U375)</f>
        <v/>
      </c>
      <c r="Z375" s="70" t="str">
        <f>IF(SUMIFS(TrackingTime!H:H,TrackingTime!F:F,Timer!B375,TrackingTime!C:C,"Hovedkontoret")&gt;0,SUMIFS(TrackingTime!H:H,TrackingTime!F:F,Timer!B375,TrackingTime!C:C,"Hovedkontoret"),"")</f>
        <v/>
      </c>
      <c r="AA375" s="71" t="str">
        <f t="shared" si="378"/>
        <v/>
      </c>
      <c r="AB375" t="str">
        <f>IF(SUMIFS(TrackingTime!H:H,TrackingTime!F:F,Timer!B375,TrackingTime!C:C,Start!$F$3)&gt;0,SUMIFS(TrackingTime!H:H,TrackingTime!F:F,Timer!B375,TrackingTime!C:C,Start!$F$3),"")</f>
        <v/>
      </c>
      <c r="AC375" s="71" t="str">
        <f t="shared" si="381"/>
        <v/>
      </c>
    </row>
    <row r="376" spans="1:29" x14ac:dyDescent="0.25">
      <c r="A376" s="15"/>
      <c r="B376" s="63">
        <f t="shared" ref="B376:B381" si="427">B375+DAY(1)</f>
        <v>46231</v>
      </c>
      <c r="C376" t="str">
        <f>IFERROR(IF(OR(L376="Fri",L376="Ferie",L376="Syk",L376="Omsorg",B376&lt;Start!$B$7),0,IF(IFERROR(MATCH(B376,Start!A$253:A$273,0),0)&gt;0,VLOOKUP(B376,Start!A$253:F$273,3,FALSE)/100*Start!$B$4,VLOOKUP(WEEKDAY(B376,2),Start!A$240:F$246,4,FALSE))),"")</f>
        <v/>
      </c>
      <c r="D376" t="str">
        <f>IFERROR(IF(OR(U376="Fri",U376="Ferie",U376="Syk",U376="Omsorg",B376&lt;Start!$F$7),0,IF(IFERROR(MATCH(B376,Start!A$253:A$273,0),0)&gt;0,VLOOKUP(B376,Start!A$253:F$273,3,FALSE)/100*Start!$F$4,VLOOKUP(WEEKDAY(B376,2),Start!A$240:F$246,6,FALSE))),"")</f>
        <v/>
      </c>
      <c r="E376">
        <f t="shared" ca="1" si="403"/>
        <v>0</v>
      </c>
      <c r="F376">
        <f>IFERROR(IF(YEAR(B376)=Start!$B$1,MONTH(B376),""),"")</f>
        <v>7</v>
      </c>
      <c r="G376" s="64" t="str">
        <f>IFERROR(VLOOKUP(B376,Start!A$111:B$273,2,FALSE),"")</f>
        <v/>
      </c>
      <c r="H376" s="21"/>
      <c r="I376" s="78">
        <v>0.33333333333333331</v>
      </c>
      <c r="J376" s="78">
        <v>0.33333333333333331</v>
      </c>
      <c r="K376" s="1" t="str">
        <f>IF(Start!$B$6="Ja","",IF(((J376-I376)*24)&gt;=5.5,"X",""))</f>
        <v/>
      </c>
      <c r="L376" s="1" t="str">
        <f>IF(_xlfn.IFNA(MATCH($A375,Start!$H$3:$H$11,0),0)&gt;0,"Ferie",IFERROR(IF(VLOOKUP($B376,Start!$A$165:$B$234,2,FALSE)&gt;0,"Fri",0),IF(AND((J376-I376)=0,Z376=""),"",MAX((IF(K376="X",(J376-I376)*24-0.5,(J376-I376)*24)),Z376))))</f>
        <v/>
      </c>
      <c r="M376" s="58"/>
      <c r="N376" s="21" t="str">
        <f t="shared" si="423"/>
        <v/>
      </c>
      <c r="O376" s="21" t="str">
        <f t="shared" si="424"/>
        <v/>
      </c>
      <c r="P376" s="2"/>
      <c r="Q376" s="21"/>
      <c r="R376" s="78">
        <v>0.33333333333333331</v>
      </c>
      <c r="S376" s="78">
        <v>0.33333333333333331</v>
      </c>
      <c r="T376" s="1" t="str">
        <f>IF(Start!$B$6="Ja","",IF(((S376-R376)*24)&gt;=5.5,"X",""))</f>
        <v/>
      </c>
      <c r="U376" s="1" t="str">
        <f>IF(_xlfn.IFNA(MATCH($A$15,Start!$H$3:$H$11,0),0)&gt;0,"Ferie",(IF(L376="fri","Fri",(IF(L376="syk","Syk",IF(L376="Ferie","Ferie",IF(AND((S376-R376)=0,AB376=""),"",MAX((IF(T376="X",(S376-R376)*24-0.5,(S376-R376)*24)),AB376))))))))</f>
        <v/>
      </c>
      <c r="V376" s="58"/>
      <c r="W376" s="21" t="str">
        <f t="shared" si="425"/>
        <v/>
      </c>
      <c r="X376" s="21" t="str">
        <f t="shared" si="426"/>
        <v/>
      </c>
      <c r="Z376" s="70" t="str">
        <f>IF(SUMIFS(TrackingTime!H:H,TrackingTime!F:F,Timer!B376,TrackingTime!C:C,"Hovedkontoret")&gt;0,SUMIFS(TrackingTime!H:H,TrackingTime!F:F,Timer!B376,TrackingTime!C:C,"Hovedkontoret"),"")</f>
        <v/>
      </c>
      <c r="AA376" s="71" t="str">
        <f t="shared" si="378"/>
        <v/>
      </c>
      <c r="AB376" t="str">
        <f>IF(SUMIFS(TrackingTime!H:H,TrackingTime!F:F,Timer!B376,TrackingTime!C:C,Start!$F$3)&gt;0,SUMIFS(TrackingTime!H:H,TrackingTime!F:F,Timer!B376,TrackingTime!C:C,Start!$F$3),"")</f>
        <v/>
      </c>
      <c r="AC376" s="71" t="str">
        <f t="shared" si="381"/>
        <v/>
      </c>
    </row>
    <row r="377" spans="1:29" x14ac:dyDescent="0.25">
      <c r="A377" s="15"/>
      <c r="B377" s="63">
        <f t="shared" si="427"/>
        <v>46232</v>
      </c>
      <c r="C377" t="str">
        <f>IFERROR(IF(OR(L377="Fri",L377="Ferie",L377="Syk",L377="Omsorg",B377&lt;Start!$B$7),0,IF(IFERROR(MATCH(B377,Start!A$253:A$273,0),0)&gt;0,VLOOKUP(B377,Start!A$253:F$273,3,FALSE)/100*Start!$B$4,VLOOKUP(WEEKDAY(B377,2),Start!A$240:F$246,4,FALSE))),"")</f>
        <v/>
      </c>
      <c r="D377" t="str">
        <f>IFERROR(IF(OR(U377="Fri",U377="Ferie",U377="Syk",U377="Omsorg",B377&lt;Start!$F$7),0,IF(IFERROR(MATCH(B377,Start!A$253:A$273,0),0)&gt;0,VLOOKUP(B377,Start!A$253:F$273,3,FALSE)/100*Start!$F$4,VLOOKUP(WEEKDAY(B377,2),Start!A$240:F$246,6,FALSE))),"")</f>
        <v/>
      </c>
      <c r="E377">
        <f t="shared" ca="1" si="403"/>
        <v>0</v>
      </c>
      <c r="F377">
        <f>IFERROR(IF(YEAR(B377)=Start!$B$1,MONTH(B377),""),"")</f>
        <v>7</v>
      </c>
      <c r="G377" s="64" t="str">
        <f>IFERROR(VLOOKUP(B377,Start!A$111:B$273,2,FALSE),"")</f>
        <v/>
      </c>
      <c r="H377" s="21"/>
      <c r="I377" s="78">
        <v>0.33333333333333331</v>
      </c>
      <c r="J377" s="78">
        <v>0.33333333333333331</v>
      </c>
      <c r="K377" s="1" t="str">
        <f>IF(Start!$B$6="Ja","",IF(((J377-I377)*24)&gt;=5.5,"X",""))</f>
        <v/>
      </c>
      <c r="L377" s="1" t="str">
        <f>IF(_xlfn.IFNA(MATCH($A375,Start!$H$3:$H$11,0),0)&gt;0,"Ferie",IFERROR(IF(VLOOKUP(B377,Start!A$165:B$234,2,FALSE)&gt;0,"Fri",0),IF(AND((J377-I377)=0,Z377=""),"",MAX((IF(K377="X",(J377-I377)*24-0.5,(J377-I377)*24)),Z377))))</f>
        <v/>
      </c>
      <c r="M377" s="58"/>
      <c r="N377" s="21" t="str">
        <f t="shared" si="423"/>
        <v/>
      </c>
      <c r="O377" s="21" t="str">
        <f t="shared" si="424"/>
        <v/>
      </c>
      <c r="P377" s="2"/>
      <c r="Q377" s="21"/>
      <c r="R377" s="78">
        <v>0.33333333333333331</v>
      </c>
      <c r="S377" s="78">
        <v>0.33333333333333331</v>
      </c>
      <c r="T377" s="1" t="str">
        <f>IF(Start!$B$6="Ja","",IF(((S377-R377)*24)&gt;=5.5,"X",""))</f>
        <v/>
      </c>
      <c r="U377" s="1" t="str">
        <f>IF(_xlfn.IFNA(MATCH($A$15,Start!$H$3:$H$11,0),0)&gt;0,"Ferie",(IF(L377="fri","Fri",(IF(L377="syk","Syk",IF(L377="Ferie","Ferie",IF(AND((S377-R377)=0,AB377=""),"",MAX((IF(T377="X",(S377-R377)*24-0.5,(S377-R377)*24)),AB377))))))))</f>
        <v/>
      </c>
      <c r="V377" s="58"/>
      <c r="W377" s="21" t="str">
        <f t="shared" si="425"/>
        <v/>
      </c>
      <c r="X377" s="21" t="str">
        <f t="shared" si="426"/>
        <v/>
      </c>
      <c r="Z377" s="70" t="str">
        <f>IF(SUMIFS(TrackingTime!H:H,TrackingTime!F:F,Timer!B377,TrackingTime!C:C,"Hovedkontoret")&gt;0,SUMIFS(TrackingTime!H:H,TrackingTime!F:F,Timer!B377,TrackingTime!C:C,"Hovedkontoret"),"")</f>
        <v/>
      </c>
      <c r="AA377" s="71" t="str">
        <f t="shared" si="378"/>
        <v/>
      </c>
      <c r="AB377" t="str">
        <f>IF(SUMIFS(TrackingTime!H:H,TrackingTime!F:F,Timer!B377,TrackingTime!C:C,Start!$F$3)&gt;0,SUMIFS(TrackingTime!H:H,TrackingTime!F:F,Timer!B377,TrackingTime!C:C,Start!$F$3),"")</f>
        <v/>
      </c>
      <c r="AC377" s="71" t="str">
        <f t="shared" si="381"/>
        <v/>
      </c>
    </row>
    <row r="378" spans="1:29" x14ac:dyDescent="0.25">
      <c r="A378" s="15"/>
      <c r="B378" s="63">
        <f t="shared" si="427"/>
        <v>46233</v>
      </c>
      <c r="C378" t="str">
        <f>IFERROR(IF(OR(L378="Fri",L378="Ferie",L378="Syk",L378="Omsorg",B378&lt;Start!$B$7),0,IF(IFERROR(MATCH(B378,Start!A$253:A$273,0),0)&gt;0,VLOOKUP(B378,Start!A$253:F$273,3,FALSE)/100*Start!$B$4,VLOOKUP(WEEKDAY(B378,2),Start!A$240:F$246,4,FALSE))),"")</f>
        <v/>
      </c>
      <c r="D378" t="str">
        <f>IFERROR(IF(OR(U378="Fri",U378="Ferie",U378="Syk",U378="Omsorg",B378&lt;Start!$F$7),0,IF(IFERROR(MATCH(B378,Start!A$253:A$273,0),0)&gt;0,VLOOKUP(B378,Start!A$253:F$273,3,FALSE)/100*Start!$F$4,VLOOKUP(WEEKDAY(B378,2),Start!A$240:F$246,6,FALSE))),"")</f>
        <v/>
      </c>
      <c r="E378">
        <f t="shared" ca="1" si="403"/>
        <v>0</v>
      </c>
      <c r="F378">
        <f>IFERROR(IF(YEAR(B378)=Start!$B$1,MONTH(B378),""),"")</f>
        <v>7</v>
      </c>
      <c r="G378" s="64" t="str">
        <f>IFERROR(VLOOKUP(B378,Start!A$111:B$273,2,FALSE),"")</f>
        <v/>
      </c>
      <c r="H378" s="21"/>
      <c r="I378" s="78">
        <v>0.33333333333333331</v>
      </c>
      <c r="J378" s="78">
        <v>0.33333333333333331</v>
      </c>
      <c r="K378" s="1" t="str">
        <f>IF(Start!$B$6="Ja","",IF(((J378-I378)*24)&gt;=5.5,"X",""))</f>
        <v/>
      </c>
      <c r="L378" s="1" t="str">
        <f>IF(_xlfn.IFNA(MATCH($A375,Start!$H$3:$H$11,0),0)&gt;0,"Ferie",IFERROR(IF(VLOOKUP(B378,Start!A$165:B$234,2,FALSE)&gt;0,"Fri",0),IF(AND((J378-I378)=0,Z378=""),"",MAX((IF(K378="X",(J378-I378)*24-0.5,(J378-I378)*24)),Z378))))</f>
        <v/>
      </c>
      <c r="M378" s="58"/>
      <c r="N378" s="21" t="str">
        <f t="shared" si="423"/>
        <v/>
      </c>
      <c r="O378" s="21" t="str">
        <f t="shared" si="424"/>
        <v/>
      </c>
      <c r="P378" s="2"/>
      <c r="Q378" s="21"/>
      <c r="R378" s="78">
        <v>0.33333333333333331</v>
      </c>
      <c r="S378" s="78">
        <v>0.33333333333333331</v>
      </c>
      <c r="T378" s="1" t="str">
        <f>IF(Start!$B$6="Ja","",IF(((S378-R378)*24)&gt;=5.5,"X",""))</f>
        <v/>
      </c>
      <c r="U378" s="1" t="str">
        <f>IF(_xlfn.IFNA(MATCH($A$15,Start!$H$3:$H$11,0),0)&gt;0,"Ferie",(IF(L378="fri","Fri",(IF(L378="syk","Syk",IF(L378="Ferie","Ferie",IF(AND((S378-R378)=0,AB378=""),"",MAX((IF(T378="X",(S378-R378)*24-0.5,(S378-R378)*24)),AB378))))))))</f>
        <v/>
      </c>
      <c r="V378" s="58"/>
      <c r="W378" s="21" t="str">
        <f t="shared" si="425"/>
        <v/>
      </c>
      <c r="X378" s="21" t="str">
        <f t="shared" si="426"/>
        <v/>
      </c>
      <c r="Z378" s="70" t="str">
        <f>IF(SUMIFS(TrackingTime!H:H,TrackingTime!F:F,Timer!B378,TrackingTime!C:C,"Hovedkontoret")&gt;0,SUMIFS(TrackingTime!H:H,TrackingTime!F:F,Timer!B378,TrackingTime!C:C,"Hovedkontoret"),"")</f>
        <v/>
      </c>
      <c r="AA378" s="71" t="str">
        <f t="shared" si="378"/>
        <v/>
      </c>
      <c r="AB378" t="str">
        <f>IF(SUMIFS(TrackingTime!H:H,TrackingTime!F:F,Timer!B378,TrackingTime!C:C,Start!$F$3)&gt;0,SUMIFS(TrackingTime!H:H,TrackingTime!F:F,Timer!B378,TrackingTime!C:C,Start!$F$3),"")</f>
        <v/>
      </c>
      <c r="AC378" s="71" t="str">
        <f t="shared" si="381"/>
        <v/>
      </c>
    </row>
    <row r="379" spans="1:29" x14ac:dyDescent="0.25">
      <c r="A379" s="15"/>
      <c r="B379" s="63">
        <f t="shared" si="427"/>
        <v>46234</v>
      </c>
      <c r="C379" t="str">
        <f>IFERROR(IF(OR(L379="Fri",L379="Ferie",L379="Syk",L379="Omsorg",B379&lt;Start!$B$7),0,IF(IFERROR(MATCH(B379,Start!A$253:A$273,0),0)&gt;0,VLOOKUP(B379,Start!A$253:F$273,3,FALSE)/100*Start!$B$4,VLOOKUP(WEEKDAY(B379,2),Start!A$240:F$246,4,FALSE))),"")</f>
        <v/>
      </c>
      <c r="D379" t="str">
        <f>IFERROR(IF(OR(U379="Fri",U379="Ferie",U379="Syk",U379="Omsorg",B379&lt;Start!$F$7),0,IF(IFERROR(MATCH(B379,Start!A$253:A$273,0),0)&gt;0,VLOOKUP(B379,Start!A$253:F$273,3,FALSE)/100*Start!$F$4,VLOOKUP(WEEKDAY(B379,2),Start!A$240:F$246,6,FALSE))),"")</f>
        <v/>
      </c>
      <c r="E379">
        <f t="shared" ca="1" si="403"/>
        <v>0</v>
      </c>
      <c r="F379">
        <f>IFERROR(IF(YEAR(B379)=Start!$B$1,MONTH(B379),""),"")</f>
        <v>7</v>
      </c>
      <c r="G379" s="64" t="str">
        <f>IFERROR(VLOOKUP(B379,Start!A$111:B$273,2,FALSE),"")</f>
        <v/>
      </c>
      <c r="H379" s="21"/>
      <c r="I379" s="78">
        <v>0.33333333333333331</v>
      </c>
      <c r="J379" s="78">
        <v>0.33333333333333331</v>
      </c>
      <c r="K379" s="1" t="str">
        <f>IF(Start!$B$6="Ja","",IF(((J379-I379)*24)&gt;=5.5,"X",""))</f>
        <v/>
      </c>
      <c r="L379" s="1" t="str">
        <f>IF(_xlfn.IFNA(MATCH($A375,Start!$H$3:$H$11,0),0)&gt;0,"Ferie",IFERROR(IF(VLOOKUP(B379,Start!A$165:B$234,2,FALSE)&gt;0,"Fri",0),IF(AND((J379-I379)=0,Z379=""),"",MAX((IF(K379="X",(J379-I379)*24-0.5,(J379-I379)*24)),Z379))))</f>
        <v/>
      </c>
      <c r="M379" s="58"/>
      <c r="N379" s="21" t="str">
        <f t="shared" si="423"/>
        <v/>
      </c>
      <c r="O379" s="21" t="str">
        <f t="shared" si="424"/>
        <v/>
      </c>
      <c r="P379" s="2"/>
      <c r="Q379" s="21"/>
      <c r="R379" s="78">
        <v>0.33333333333333331</v>
      </c>
      <c r="S379" s="78">
        <v>0.33333333333333331</v>
      </c>
      <c r="T379" s="1" t="str">
        <f>IF(Start!$B$6="Ja","",IF(((S379-R379)*24)&gt;=5.5,"X",""))</f>
        <v/>
      </c>
      <c r="U379" s="1" t="str">
        <f>IF(_xlfn.IFNA(MATCH($A$15,Start!$H$3:$H$11,0),0)&gt;0,"Ferie",(IF(L379="fri","Fri",(IF(L379="syk","Syk",IF(L379="Ferie","Ferie",IF(AND((S379-R379)=0,AB379=""),"",MAX((IF(T379="X",(S379-R379)*24-0.5,(S379-R379)*24)),AB379))))))))</f>
        <v/>
      </c>
      <c r="V379" s="58"/>
      <c r="W379" s="21" t="str">
        <f t="shared" si="425"/>
        <v/>
      </c>
      <c r="X379" s="21" t="str">
        <f t="shared" si="426"/>
        <v/>
      </c>
      <c r="Z379" s="70" t="str">
        <f>IF(SUMIFS(TrackingTime!H:H,TrackingTime!F:F,Timer!B379,TrackingTime!C:C,"Hovedkontoret")&gt;0,SUMIFS(TrackingTime!H:H,TrackingTime!F:F,Timer!B379,TrackingTime!C:C,"Hovedkontoret"),"")</f>
        <v/>
      </c>
      <c r="AA379" s="71" t="str">
        <f t="shared" si="378"/>
        <v/>
      </c>
      <c r="AB379" t="str">
        <f>IF(SUMIFS(TrackingTime!H:H,TrackingTime!F:F,Timer!B379,TrackingTime!C:C,Start!$F$3)&gt;0,SUMIFS(TrackingTime!H:H,TrackingTime!F:F,Timer!B379,TrackingTime!C:C,Start!$F$3),"")</f>
        <v/>
      </c>
      <c r="AC379" s="71" t="str">
        <f t="shared" si="381"/>
        <v/>
      </c>
    </row>
    <row r="380" spans="1:29" x14ac:dyDescent="0.25">
      <c r="A380" s="15"/>
      <c r="B380" s="63">
        <f t="shared" si="427"/>
        <v>46235</v>
      </c>
      <c r="C380">
        <f>IFERROR(IF(OR(L380="Fri",L380="Ferie",L380="Syk",L380="Omsorg",B380&lt;Start!$B$7),0,IF(IFERROR(MATCH(B380,Start!A$253:A$273,0),0)&gt;0,VLOOKUP(B380,Start!A$253:F$273,3,FALSE)/100*Start!$B$4,VLOOKUP(WEEKDAY(B380,2),Start!A$240:F$246,4,FALSE))),"")</f>
        <v>0</v>
      </c>
      <c r="D380">
        <f>IFERROR(IF(OR(U380="Fri",U380="Ferie",U380="Syk",U380="Omsorg",B380&lt;Start!$F$7),0,IF(IFERROR(MATCH(B380,Start!A$253:A$273,0),0)&gt;0,VLOOKUP(B380,Start!A$253:F$273,3,FALSE)/100*Start!$F$4,VLOOKUP(WEEKDAY(B380,2),Start!A$240:F$246,6,FALSE))),"")</f>
        <v>0</v>
      </c>
      <c r="E380">
        <f t="shared" ca="1" si="403"/>
        <v>0</v>
      </c>
      <c r="F380">
        <f>IFERROR(IF(YEAR(B380)=Start!$B$1,MONTH(B380),""),"")</f>
        <v>8</v>
      </c>
      <c r="G380" s="64" t="str">
        <f>IFERROR(VLOOKUP(B380,Start!A$111:B$273,2,FALSE),"")</f>
        <v/>
      </c>
      <c r="H380" s="21"/>
      <c r="I380" s="78">
        <v>0.41666666666666669</v>
      </c>
      <c r="J380" s="78">
        <v>0.41666666666666669</v>
      </c>
      <c r="K380" s="1" t="str">
        <f>IF(Start!$B$6="Ja","",IF(((J380-I380)*24)&gt;=5.5,"X",""))</f>
        <v/>
      </c>
      <c r="L380" s="1" t="str">
        <f t="shared" ref="L380:L381" si="428">IF(AND((J380-I380)=0,Z380=""),"",MAX((IF(K380="X",(J380-I380)*24-0.5,(J380-I380)*24)),Z380))</f>
        <v/>
      </c>
      <c r="M380" s="58"/>
      <c r="N380" s="21" t="str">
        <f t="shared" si="423"/>
        <v/>
      </c>
      <c r="O380" s="21" t="str">
        <f t="shared" si="424"/>
        <v/>
      </c>
      <c r="P380" s="2"/>
      <c r="Q380" s="21"/>
      <c r="R380" s="78">
        <v>0.41666666666666669</v>
      </c>
      <c r="S380" s="78">
        <v>0.41666666666666669</v>
      </c>
      <c r="T380" s="1" t="str">
        <f>IF(Start!$B$6="Ja","",IF(((S380-R380)*24)&gt;=5.5,"X",""))</f>
        <v/>
      </c>
      <c r="U380" s="1" t="str">
        <f t="shared" ref="U380:U381" si="429">IF(AND((S380-R380)=0,AB380=""),"",MAX((IF(T380="X",(S380-R380)*24-0.5,(S380-R380)*24)),AB380))</f>
        <v/>
      </c>
      <c r="V380" s="58"/>
      <c r="W380" s="21" t="str">
        <f t="shared" si="425"/>
        <v/>
      </c>
      <c r="X380" s="21" t="str">
        <f t="shared" si="426"/>
        <v/>
      </c>
      <c r="Z380" s="70" t="str">
        <f>IF(SUMIFS(TrackingTime!H:H,TrackingTime!F:F,Timer!B380,TrackingTime!C:C,"Hovedkontoret")&gt;0,SUMIFS(TrackingTime!H:H,TrackingTime!F:F,Timer!B380,TrackingTime!C:C,"Hovedkontoret"),"")</f>
        <v/>
      </c>
      <c r="AA380" s="71" t="str">
        <f t="shared" si="378"/>
        <v/>
      </c>
      <c r="AB380" t="str">
        <f>IF(SUMIFS(TrackingTime!H:H,TrackingTime!F:F,Timer!B380,TrackingTime!C:C,Start!$F$3)&gt;0,SUMIFS(TrackingTime!H:H,TrackingTime!F:F,Timer!B380,TrackingTime!C:C,Start!$F$3),"")</f>
        <v/>
      </c>
      <c r="AC380" s="71" t="str">
        <f t="shared" si="381"/>
        <v/>
      </c>
    </row>
    <row r="381" spans="1:29" x14ac:dyDescent="0.25">
      <c r="A381" s="15"/>
      <c r="B381" s="63">
        <f t="shared" si="427"/>
        <v>46236</v>
      </c>
      <c r="C381">
        <f>IFERROR(IF(OR(L381="Fri",L381="Ferie",L381="Syk",L381="Omsorg",B381&lt;Start!$B$7),0,IF(IFERROR(MATCH(B381,Start!A$253:A$273,0),0)&gt;0,VLOOKUP(B381,Start!A$253:F$273,3,FALSE)/100*Start!$B$4,VLOOKUP(WEEKDAY(B381,2),Start!A$240:F$246,4,FALSE))),"")</f>
        <v>0</v>
      </c>
      <c r="D381">
        <f>IFERROR(IF(OR(U381="Fri",U381="Ferie",U381="Syk",U381="Omsorg",B381&lt;Start!$F$7),0,IF(IFERROR(MATCH(B381,Start!A$253:A$273,0),0)&gt;0,VLOOKUP(B381,Start!A$253:F$273,3,FALSE)/100*Start!$F$4,VLOOKUP(WEEKDAY(B381,2),Start!A$240:F$246,6,FALSE))),"")</f>
        <v>0</v>
      </c>
      <c r="E381">
        <f t="shared" ca="1" si="403"/>
        <v>0</v>
      </c>
      <c r="F381">
        <f>IFERROR(IF(YEAR(B381)=Start!$B$1,MONTH(B381),""),"")</f>
        <v>8</v>
      </c>
      <c r="G381" s="64" t="str">
        <f>IFERROR(VLOOKUP(B381,Start!A$111:B$273,2,FALSE),"")</f>
        <v/>
      </c>
      <c r="H381" s="25"/>
      <c r="I381" s="78">
        <v>0.41666666666666669</v>
      </c>
      <c r="J381" s="78">
        <v>0.41666666666666669</v>
      </c>
      <c r="K381" s="1" t="str">
        <f>IF(Start!$B$6="Ja","",IF(((J381-I381)*24)&gt;=5.5,"X",""))</f>
        <v/>
      </c>
      <c r="L381" s="1" t="str">
        <f t="shared" si="428"/>
        <v/>
      </c>
      <c r="M381" s="58"/>
      <c r="N381" s="21" t="str">
        <f t="shared" si="423"/>
        <v/>
      </c>
      <c r="O381" s="21" t="str">
        <f t="shared" si="424"/>
        <v/>
      </c>
      <c r="Q381" s="25"/>
      <c r="R381" s="78">
        <v>0.41666666666666669</v>
      </c>
      <c r="S381" s="78">
        <v>0.41666666666666669</v>
      </c>
      <c r="T381" s="1" t="str">
        <f>IF(Start!$B$6="Ja","",IF(((S381-R381)*24)&gt;=5.5,"X",""))</f>
        <v/>
      </c>
      <c r="U381" s="1" t="str">
        <f t="shared" si="429"/>
        <v/>
      </c>
      <c r="V381" s="58"/>
      <c r="W381" s="21" t="str">
        <f t="shared" si="425"/>
        <v/>
      </c>
      <c r="X381" s="21" t="str">
        <f t="shared" si="426"/>
        <v/>
      </c>
      <c r="Z381" s="70" t="str">
        <f>IF(SUMIFS(TrackingTime!H:H,TrackingTime!F:F,Timer!B381,TrackingTime!C:C,"Hovedkontoret")&gt;0,SUMIFS(TrackingTime!H:H,TrackingTime!F:F,Timer!B381,TrackingTime!C:C,"Hovedkontoret"),"")</f>
        <v/>
      </c>
      <c r="AA381" s="71" t="str">
        <f t="shared" si="378"/>
        <v/>
      </c>
      <c r="AB381" t="str">
        <f>IF(SUMIFS(TrackingTime!H:H,TrackingTime!F:F,Timer!B381,TrackingTime!C:C,Start!$F$3)&gt;0,SUMIFS(TrackingTime!H:H,TrackingTime!F:F,Timer!B381,TrackingTime!C:C,Start!$F$3),"")</f>
        <v/>
      </c>
      <c r="AC381" s="71" t="str">
        <f t="shared" si="381"/>
        <v/>
      </c>
    </row>
    <row r="382" spans="1:29" x14ac:dyDescent="0.25">
      <c r="A382" s="15"/>
      <c r="B382" s="4" t="s">
        <v>11</v>
      </c>
      <c r="C382" s="24"/>
      <c r="D382" s="24"/>
      <c r="E382" s="24">
        <f t="shared" ca="1" si="403"/>
        <v>0</v>
      </c>
      <c r="F382" s="24" t="str">
        <f>IFERROR(IF(YEAR(B382)=Start!$B$1,MONTH(B382),""),"")</f>
        <v/>
      </c>
      <c r="G382" s="64" t="str">
        <f>IFERROR(VLOOKUP(B382,Start!A$111:B$273,2,FALSE),"")</f>
        <v/>
      </c>
      <c r="H382" s="4"/>
      <c r="I382" s="4"/>
      <c r="J382" s="4"/>
      <c r="K382" s="4"/>
      <c r="L382" s="5">
        <f t="shared" ref="L382:L442" si="430">SUM($L375:$L381)</f>
        <v>0</v>
      </c>
      <c r="N382" s="24"/>
      <c r="O382" s="39">
        <f t="shared" ref="O382" si="431">SUM(O375:O381)</f>
        <v>0</v>
      </c>
      <c r="P382" s="40"/>
      <c r="Q382" s="41"/>
      <c r="R382" s="4"/>
      <c r="S382" s="4"/>
      <c r="T382" s="4"/>
      <c r="U382" s="5">
        <f t="shared" ref="U382" si="432">SUM($U375:$U381)</f>
        <v>0</v>
      </c>
      <c r="V382" s="58"/>
      <c r="W382" s="39"/>
      <c r="X382" s="39">
        <f t="shared" si="391"/>
        <v>0</v>
      </c>
      <c r="Z382" s="70" t="str">
        <f>IF(SUMIFS(TrackingTime!H:H,TrackingTime!F:F,Timer!B382,TrackingTime!C:C,"Hovedkontoret")&gt;0,SUMIFS(TrackingTime!H:H,TrackingTime!F:F,Timer!B382,TrackingTime!C:C,"Hovedkontoret"),"")</f>
        <v/>
      </c>
      <c r="AA382" s="71" t="str">
        <f t="shared" si="378"/>
        <v/>
      </c>
      <c r="AB382" t="str">
        <f>IF(SUMIFS(TrackingTime!H:H,TrackingTime!F:F,Timer!B382,TrackingTime!C:C,Start!$F$3)&gt;0,SUMIFS(TrackingTime!H:H,TrackingTime!F:F,Timer!B382,TrackingTime!C:C,Start!$F$3),"")</f>
        <v/>
      </c>
      <c r="AC382" s="71" t="str">
        <f t="shared" si="381"/>
        <v/>
      </c>
    </row>
    <row r="383" spans="1:29" x14ac:dyDescent="0.25">
      <c r="A383" s="15"/>
      <c r="B383" t="s">
        <v>90</v>
      </c>
      <c r="E383">
        <f t="shared" ca="1" si="403"/>
        <v>0</v>
      </c>
      <c r="F383" t="str">
        <f>IFERROR(IF(YEAR(B383)=Start!$B$1,MONTH(B383),""),"")</f>
        <v/>
      </c>
      <c r="G383" s="64" t="str">
        <f>IFERROR(VLOOKUP(B383,Start!A$111:B$273,2,FALSE),"")</f>
        <v/>
      </c>
      <c r="L383" s="1">
        <f t="shared" ref="L383:L443" si="433">SUMIFS(C375:C381,F375:F381,"&gt;0")</f>
        <v>0</v>
      </c>
      <c r="M383" s="1"/>
      <c r="N383" s="1"/>
      <c r="O383" s="21">
        <f t="shared" ref="O383" si="434">L383</f>
        <v>0</v>
      </c>
      <c r="P383" s="40"/>
      <c r="Q383" s="21"/>
      <c r="U383" s="1">
        <f t="shared" ref="U383" si="435">SUMIFS(D375:D381,F375:F381,"&gt;0")</f>
        <v>0</v>
      </c>
      <c r="V383" s="1"/>
      <c r="W383" s="1"/>
      <c r="X383" s="21">
        <f>U383</f>
        <v>0</v>
      </c>
      <c r="Z383" s="70" t="str">
        <f>IF(SUMIFS(TrackingTime!H:H,TrackingTime!F:F,Timer!B383,TrackingTime!C:C,"Hovedkontoret")&gt;0,SUMIFS(TrackingTime!H:H,TrackingTime!F:F,Timer!B383,TrackingTime!C:C,"Hovedkontoret"),"")</f>
        <v/>
      </c>
      <c r="AA383" s="71" t="str">
        <f t="shared" si="378"/>
        <v/>
      </c>
      <c r="AB383" t="str">
        <f>IF(SUMIFS(TrackingTime!H:H,TrackingTime!F:F,Timer!B383,TrackingTime!C:C,Start!$F$3)&gt;0,SUMIFS(TrackingTime!H:H,TrackingTime!F:F,Timer!B383,TrackingTime!C:C,Start!$F$3),"")</f>
        <v/>
      </c>
      <c r="AC383" s="71" t="str">
        <f t="shared" si="381"/>
        <v/>
      </c>
    </row>
    <row r="384" spans="1:29" x14ac:dyDescent="0.25">
      <c r="A384" s="16">
        <f>B381-B375-1</f>
        <v>5</v>
      </c>
      <c r="B384" t="s">
        <v>117</v>
      </c>
      <c r="E384">
        <f t="shared" ca="1" si="403"/>
        <v>0</v>
      </c>
      <c r="F384" t="str">
        <f>IFERROR(IF(YEAR(B384)=Start!$B$1,MONTH(B384),""),"")</f>
        <v/>
      </c>
      <c r="G384" s="64" t="str">
        <f>IFERROR(VLOOKUP(B384,Start!A$111:B$273,2,FALSE),"")</f>
        <v/>
      </c>
      <c r="L384" s="77">
        <f t="shared" ref="L384:L444" ca="1" si="436">L382-L383*(IF(NETWORKDAYS($B375,TODAY())&lt;0,0,IF(NETWORKDAYS($B375,TODAY())&lt;=$A384,NETWORKDAYS($B375,TODAY()),$A384)))/$A384</f>
        <v>0</v>
      </c>
      <c r="O384" s="21">
        <f t="shared" ref="O384" si="437">O382-O383</f>
        <v>0</v>
      </c>
      <c r="P384" s="21"/>
      <c r="Q384" s="21"/>
      <c r="U384" s="1">
        <f t="shared" ref="U384" ca="1" si="438">U382-U383*(IF(NETWORKDAYS($B375,TODAY())&lt;0,0,IF(NETWORKDAYS($B375,TODAY())&lt;=$A384,NETWORKDAYS($B375,TODAY()),$A384)))/$A384</f>
        <v>0</v>
      </c>
      <c r="V384" s="58"/>
      <c r="W384" s="21"/>
      <c r="X384" s="21">
        <f>X382-X383</f>
        <v>0</v>
      </c>
      <c r="Z384" s="70" t="str">
        <f>IF(SUMIFS(TrackingTime!H:H,TrackingTime!F:F,Timer!B384,TrackingTime!C:C,"Hovedkontoret")&gt;0,SUMIFS(TrackingTime!H:H,TrackingTime!F:F,Timer!B384,TrackingTime!C:C,"Hovedkontoret"),"")</f>
        <v/>
      </c>
      <c r="AA384" s="71" t="str">
        <f t="shared" si="378"/>
        <v/>
      </c>
      <c r="AB384" t="str">
        <f>IF(SUMIFS(TrackingTime!H:H,TrackingTime!F:F,Timer!B384,TrackingTime!C:C,Start!$F$3)&gt;0,SUMIFS(TrackingTime!H:H,TrackingTime!F:F,Timer!B384,TrackingTime!C:C,Start!$F$3),"")</f>
        <v/>
      </c>
      <c r="AC384" s="71" t="str">
        <f t="shared" si="381"/>
        <v/>
      </c>
    </row>
    <row r="385" spans="1:29" x14ac:dyDescent="0.25">
      <c r="A385" s="15"/>
      <c r="E385">
        <f t="shared" ca="1" si="403"/>
        <v>1</v>
      </c>
      <c r="F385" t="str">
        <f>IFERROR(IF(YEAR(B385)=Start!$B$1,MONTH(B385),""),"")</f>
        <v/>
      </c>
      <c r="G385" s="64" t="str">
        <f>IFERROR(VLOOKUP(B385,Start!A$111:B$273,2,FALSE),"")</f>
        <v/>
      </c>
      <c r="O385" s="2"/>
      <c r="P385" s="2"/>
      <c r="U385" s="1"/>
      <c r="V385" s="7"/>
      <c r="X385" s="2"/>
      <c r="Z385" s="70" t="str">
        <f>IF(SUMIFS(TrackingTime!H:H,TrackingTime!F:F,Timer!B385,TrackingTime!C:C,"Hovedkontoret")&gt;0,SUMIFS(TrackingTime!H:H,TrackingTime!F:F,Timer!B385,TrackingTime!C:C,"Hovedkontoret"),"")</f>
        <v/>
      </c>
      <c r="AA385" s="71" t="str">
        <f t="shared" si="378"/>
        <v/>
      </c>
      <c r="AB385" t="str">
        <f>IF(SUMIFS(TrackingTime!H:H,TrackingTime!F:F,Timer!B385,TrackingTime!C:C,Start!$F$3)&gt;0,SUMIFS(TrackingTime!H:H,TrackingTime!F:F,Timer!B385,TrackingTime!C:C,Start!$F$3),"")</f>
        <v/>
      </c>
      <c r="AC385" s="71" t="str">
        <f t="shared" si="381"/>
        <v/>
      </c>
    </row>
    <row r="386" spans="1:29" x14ac:dyDescent="0.25">
      <c r="A386" s="2" t="s">
        <v>82</v>
      </c>
      <c r="B386" s="14" t="s">
        <v>83</v>
      </c>
      <c r="E386">
        <f t="shared" ca="1" si="403"/>
        <v>0</v>
      </c>
      <c r="F386" t="str">
        <f>IFERROR(IF(YEAR(B386)=Start!$B$1,MONTH(B386),""),"")</f>
        <v/>
      </c>
      <c r="G386" s="64" t="str">
        <f>IFERROR(VLOOKUP(B386,Start!A$111:B$273,2,FALSE),"")</f>
        <v/>
      </c>
      <c r="H386" s="2" t="s">
        <v>86</v>
      </c>
      <c r="I386" s="2" t="s">
        <v>125</v>
      </c>
      <c r="J386" s="2" t="s">
        <v>126</v>
      </c>
      <c r="K386" s="2" t="s">
        <v>127</v>
      </c>
      <c r="L386" s="3" t="s">
        <v>87</v>
      </c>
      <c r="M386" s="6"/>
      <c r="N386" s="2" t="s">
        <v>88</v>
      </c>
      <c r="O386" s="2" t="s">
        <v>89</v>
      </c>
      <c r="P386" s="2"/>
      <c r="Q386" s="2" t="s">
        <v>86</v>
      </c>
      <c r="R386" s="2" t="s">
        <v>125</v>
      </c>
      <c r="S386" s="2" t="s">
        <v>126</v>
      </c>
      <c r="T386" s="2" t="s">
        <v>127</v>
      </c>
      <c r="U386" s="3" t="s">
        <v>87</v>
      </c>
      <c r="V386" s="6"/>
      <c r="W386" s="2" t="s">
        <v>88</v>
      </c>
      <c r="X386" s="2" t="s">
        <v>89</v>
      </c>
      <c r="Z386" s="70" t="str">
        <f>IF(SUMIFS(TrackingTime!H:H,TrackingTime!F:F,Timer!B386,TrackingTime!C:C,"Hovedkontoret")&gt;0,SUMIFS(TrackingTime!H:H,TrackingTime!F:F,Timer!B386,TrackingTime!C:C,"Hovedkontoret"),"")</f>
        <v/>
      </c>
      <c r="AA386" s="71" t="str">
        <f t="shared" si="378"/>
        <v/>
      </c>
      <c r="AB386" t="str">
        <f>IF(SUMIFS(TrackingTime!H:H,TrackingTime!F:F,Timer!B386,TrackingTime!C:C,Start!$F$3)&gt;0,SUMIFS(TrackingTime!H:H,TrackingTime!F:F,Timer!B386,TrackingTime!C:C,Start!$F$3),"")</f>
        <v/>
      </c>
      <c r="AC386" s="71" t="str">
        <f t="shared" si="381"/>
        <v/>
      </c>
    </row>
    <row r="387" spans="1:29" x14ac:dyDescent="0.25">
      <c r="A387" s="15">
        <f>WEEKNUM(B387,21)</f>
        <v>32</v>
      </c>
      <c r="B387" s="63">
        <f>B381+(DAY(1))</f>
        <v>46237</v>
      </c>
      <c r="C387" t="str">
        <f>IFERROR(IF(OR(L387="Fri",L387="Ferie",L387="Syk",L387="Omsorg",B387&lt;Start!$B$7),0,IF(IFERROR(MATCH(B387,Start!A$253:A$273,0),0)&gt;0,VLOOKUP(B387,Start!A$253:F$273,3,FALSE)/100*Start!$B$4,VLOOKUP(WEEKDAY(B387,2),Start!A$240:F$246,4,FALSE))),"")</f>
        <v/>
      </c>
      <c r="D387" t="str">
        <f>IFERROR(IF(OR(U387="Fri",U387="Ferie",U387="Syk",U387="Omsorg",B387&lt;Start!$F$7),0,IF(IFERROR(MATCH(B387,Start!A$253:A$273,0),0)&gt;0,VLOOKUP(B387,Start!A$253:F$273,3,FALSE)/100*Start!$F$4,VLOOKUP(WEEKDAY(B387,2),Start!A$240:F$246,6,FALSE))),"")</f>
        <v/>
      </c>
      <c r="E387">
        <f t="shared" ca="1" si="403"/>
        <v>0</v>
      </c>
      <c r="F387">
        <f>IFERROR(IF(YEAR(B387)=Start!$B$1,MONTH(B387),""),"")</f>
        <v>8</v>
      </c>
      <c r="G387" s="64" t="str">
        <f>IFERROR(VLOOKUP(B387,Start!A$111:B$273,2,FALSE),"")</f>
        <v/>
      </c>
      <c r="H387" s="21"/>
      <c r="I387" s="78">
        <v>0.33333333333333331</v>
      </c>
      <c r="J387" s="78">
        <v>0.33333333333333331</v>
      </c>
      <c r="K387" s="1" t="str">
        <f>IF(Start!$B$6="Ja","",IF(((J387-I387)*24)&gt;=5.5,"X",""))</f>
        <v/>
      </c>
      <c r="L387" s="1" t="str">
        <f>IF(_xlfn.IFNA(MATCH($A387,Start!$H$3:$H$11,0),0)&gt;0,"Ferie",IFERROR(IF(VLOOKUP(B387,Start!A$165:B$234,2,FALSE)&gt;0,"Fri",0),IF(AND((J387-I387)=0,Z387=""),"",MAX((IF(K387="X",(J387-I387)*24-0.5,(J387-I387)*24)),Z387))))</f>
        <v/>
      </c>
      <c r="M387" s="58"/>
      <c r="N387" s="21" t="str">
        <f t="shared" ref="N387:N393" si="439">IF(H387=0,"",H387)</f>
        <v/>
      </c>
      <c r="O387" s="21" t="str">
        <f t="shared" ref="O387:O393" si="440">IF(L387=0,"",L387)</f>
        <v/>
      </c>
      <c r="P387" s="2"/>
      <c r="Q387" s="21"/>
      <c r="R387" s="78">
        <v>0.33333333333333331</v>
      </c>
      <c r="S387" s="78">
        <v>0.33333333333333331</v>
      </c>
      <c r="T387" s="1" t="str">
        <f>IF(Start!$B$6="Ja","",IF(((S387-R387)*24)&gt;=5.5,"X",""))</f>
        <v/>
      </c>
      <c r="U387" s="1" t="str">
        <f>IF(_xlfn.IFNA(MATCH($A$15,Start!$H$3:$H$11,0),0)&gt;0,"Ferie",(IF(L387="fri","Fri",(IF(L387="syk","Syk",IF(L387="Ferie","Ferie",IF(AND((S387-R387)=0,AB387=""),"",MAX((IF(T387="X",(S387-R387)*24-0.5,(S387-R387)*24)),AB387))))))))</f>
        <v/>
      </c>
      <c r="V387" s="58"/>
      <c r="W387" s="21" t="str">
        <f t="shared" ref="W387:W393" si="441">IF(Q387=0,"",Q387)</f>
        <v/>
      </c>
      <c r="X387" s="21" t="str">
        <f t="shared" ref="X387:X393" si="442">IF(U387=0,"",U387)</f>
        <v/>
      </c>
      <c r="Z387" s="70" t="str">
        <f>IF(SUMIFS(TrackingTime!H:H,TrackingTime!F:F,Timer!B387,TrackingTime!C:C,"Hovedkontoret")&gt;0,SUMIFS(TrackingTime!H:H,TrackingTime!F:F,Timer!B387,TrackingTime!C:C,"Hovedkontoret"),"")</f>
        <v/>
      </c>
      <c r="AA387" s="71" t="str">
        <f t="shared" si="378"/>
        <v/>
      </c>
      <c r="AB387" t="str">
        <f>IF(SUMIFS(TrackingTime!H:H,TrackingTime!F:F,Timer!B387,TrackingTime!C:C,Start!$F$3)&gt;0,SUMIFS(TrackingTime!H:H,TrackingTime!F:F,Timer!B387,TrackingTime!C:C,Start!$F$3),"")</f>
        <v/>
      </c>
      <c r="AC387" s="71" t="str">
        <f t="shared" si="381"/>
        <v/>
      </c>
    </row>
    <row r="388" spans="1:29" x14ac:dyDescent="0.25">
      <c r="A388" s="15"/>
      <c r="B388" s="63">
        <f t="shared" ref="B388:B393" si="443">B387+DAY(1)</f>
        <v>46238</v>
      </c>
      <c r="C388" t="str">
        <f>IFERROR(IF(OR(L388="Fri",L388="Ferie",L388="Syk",L388="Omsorg",B388&lt;Start!$B$7),0,IF(IFERROR(MATCH(B388,Start!A$253:A$273,0),0)&gt;0,VLOOKUP(B388,Start!A$253:F$273,3,FALSE)/100*Start!$B$4,VLOOKUP(WEEKDAY(B388,2),Start!A$240:F$246,4,FALSE))),"")</f>
        <v/>
      </c>
      <c r="D388" t="str">
        <f>IFERROR(IF(OR(U388="Fri",U388="Ferie",U388="Syk",U388="Omsorg",B388&lt;Start!$F$7),0,IF(IFERROR(MATCH(B388,Start!A$253:A$273,0),0)&gt;0,VLOOKUP(B388,Start!A$253:F$273,3,FALSE)/100*Start!$F$4,VLOOKUP(WEEKDAY(B388,2),Start!A$240:F$246,6,FALSE))),"")</f>
        <v/>
      </c>
      <c r="E388">
        <f t="shared" ca="1" si="403"/>
        <v>0</v>
      </c>
      <c r="F388">
        <f>IFERROR(IF(YEAR(B388)=Start!$B$1,MONTH(B388),""),"")</f>
        <v>8</v>
      </c>
      <c r="G388" s="64" t="str">
        <f>IFERROR(VLOOKUP(B388,Start!A$111:B$273,2,FALSE),"")</f>
        <v/>
      </c>
      <c r="H388" s="21"/>
      <c r="I388" s="78">
        <v>0.33333333333333331</v>
      </c>
      <c r="J388" s="78">
        <v>0.33333333333333331</v>
      </c>
      <c r="K388" s="1" t="str">
        <f>IF(Start!$B$6="Ja","",IF(((J388-I388)*24)&gt;=5.5,"X",""))</f>
        <v/>
      </c>
      <c r="L388" s="1" t="str">
        <f>IF(_xlfn.IFNA(MATCH($A387,Start!$H$3:$H$11,0),0)&gt;0,"Ferie",IFERROR(IF(VLOOKUP($B388,Start!$A$165:$B$234,2,FALSE)&gt;0,"Fri",0),IF(AND((J388-I388)=0,Z388=""),"",MAX((IF(K388="X",(J388-I388)*24-0.5,(J388-I388)*24)),Z388))))</f>
        <v/>
      </c>
      <c r="M388" s="58"/>
      <c r="N388" s="21" t="str">
        <f t="shared" si="439"/>
        <v/>
      </c>
      <c r="O388" s="21" t="str">
        <f t="shared" si="440"/>
        <v/>
      </c>
      <c r="P388" s="2"/>
      <c r="Q388" s="21"/>
      <c r="R388" s="78">
        <v>0.33333333333333331</v>
      </c>
      <c r="S388" s="78">
        <v>0.33333333333333331</v>
      </c>
      <c r="T388" s="1" t="str">
        <f>IF(Start!$B$6="Ja","",IF(((S388-R388)*24)&gt;=5.5,"X",""))</f>
        <v/>
      </c>
      <c r="U388" s="1" t="str">
        <f>IF(_xlfn.IFNA(MATCH($A$15,Start!$H$3:$H$11,0),0)&gt;0,"Ferie",(IF(L388="fri","Fri",(IF(L388="syk","Syk",IF(L388="Ferie","Ferie",IF(AND((S388-R388)=0,AB388=""),"",MAX((IF(T388="X",(S388-R388)*24-0.5,(S388-R388)*24)),AB388))))))))</f>
        <v/>
      </c>
      <c r="V388" s="58"/>
      <c r="W388" s="21" t="str">
        <f t="shared" si="441"/>
        <v/>
      </c>
      <c r="X388" s="21" t="str">
        <f t="shared" si="442"/>
        <v/>
      </c>
      <c r="Z388" s="70" t="str">
        <f>IF(SUMIFS(TrackingTime!H:H,TrackingTime!F:F,Timer!B388,TrackingTime!C:C,"Hovedkontoret")&gt;0,SUMIFS(TrackingTime!H:H,TrackingTime!F:F,Timer!B388,TrackingTime!C:C,"Hovedkontoret"),"")</f>
        <v/>
      </c>
      <c r="AA388" s="71" t="str">
        <f t="shared" si="378"/>
        <v/>
      </c>
      <c r="AB388" t="str">
        <f>IF(SUMIFS(TrackingTime!H:H,TrackingTime!F:F,Timer!B388,TrackingTime!C:C,Start!$F$3)&gt;0,SUMIFS(TrackingTime!H:H,TrackingTime!F:F,Timer!B388,TrackingTime!C:C,Start!$F$3),"")</f>
        <v/>
      </c>
      <c r="AC388" s="71" t="str">
        <f t="shared" si="381"/>
        <v/>
      </c>
    </row>
    <row r="389" spans="1:29" x14ac:dyDescent="0.25">
      <c r="A389" s="15"/>
      <c r="B389" s="63">
        <f t="shared" si="443"/>
        <v>46239</v>
      </c>
      <c r="C389" t="str">
        <f>IFERROR(IF(OR(L389="Fri",L389="Ferie",L389="Syk",L389="Omsorg",B389&lt;Start!$B$7),0,IF(IFERROR(MATCH(B389,Start!A$253:A$273,0),0)&gt;0,VLOOKUP(B389,Start!A$253:F$273,3,FALSE)/100*Start!$B$4,VLOOKUP(WEEKDAY(B389,2),Start!A$240:F$246,4,FALSE))),"")</f>
        <v/>
      </c>
      <c r="D389" t="str">
        <f>IFERROR(IF(OR(U389="Fri",U389="Ferie",U389="Syk",U389="Omsorg",B389&lt;Start!$F$7),0,IF(IFERROR(MATCH(B389,Start!A$253:A$273,0),0)&gt;0,VLOOKUP(B389,Start!A$253:F$273,3,FALSE)/100*Start!$F$4,VLOOKUP(WEEKDAY(B389,2),Start!A$240:F$246,6,FALSE))),"")</f>
        <v/>
      </c>
      <c r="E389">
        <f t="shared" ca="1" si="403"/>
        <v>0</v>
      </c>
      <c r="F389">
        <f>IFERROR(IF(YEAR(B389)=Start!$B$1,MONTH(B389),""),"")</f>
        <v>8</v>
      </c>
      <c r="G389" s="64" t="str">
        <f>IFERROR(VLOOKUP(B389,Start!A$111:B$273,2,FALSE),"")</f>
        <v/>
      </c>
      <c r="H389" s="21"/>
      <c r="I389" s="78">
        <v>0.33333333333333331</v>
      </c>
      <c r="J389" s="78">
        <v>0.33333333333333331</v>
      </c>
      <c r="K389" s="1" t="str">
        <f>IF(Start!$B$6="Ja","",IF(((J389-I389)*24)&gt;=5.5,"X",""))</f>
        <v/>
      </c>
      <c r="L389" s="1" t="str">
        <f>IF(_xlfn.IFNA(MATCH($A387,Start!$H$3:$H$11,0),0)&gt;0,"Ferie",IFERROR(IF(VLOOKUP(B389,Start!A$165:B$234,2,FALSE)&gt;0,"Fri",0),IF(AND((J389-I389)=0,Z389=""),"",MAX((IF(K389="X",(J389-I389)*24-0.5,(J389-I389)*24)),Z389))))</f>
        <v/>
      </c>
      <c r="M389" s="58"/>
      <c r="N389" s="21" t="str">
        <f t="shared" si="439"/>
        <v/>
      </c>
      <c r="O389" s="21" t="str">
        <f t="shared" si="440"/>
        <v/>
      </c>
      <c r="P389" s="2"/>
      <c r="Q389" s="21"/>
      <c r="R389" s="78">
        <v>0.33333333333333331</v>
      </c>
      <c r="S389" s="78">
        <v>0.33333333333333331</v>
      </c>
      <c r="T389" s="1" t="str">
        <f>IF(Start!$B$6="Ja","",IF(((S389-R389)*24)&gt;=5.5,"X",""))</f>
        <v/>
      </c>
      <c r="U389" s="1" t="str">
        <f>IF(_xlfn.IFNA(MATCH($A$15,Start!$H$3:$H$11,0),0)&gt;0,"Ferie",(IF(L389="fri","Fri",(IF(L389="syk","Syk",IF(L389="Ferie","Ferie",IF(AND((S389-R389)=0,AB389=""),"",MAX((IF(T389="X",(S389-R389)*24-0.5,(S389-R389)*24)),AB389))))))))</f>
        <v/>
      </c>
      <c r="V389" s="58"/>
      <c r="W389" s="21" t="str">
        <f t="shared" si="441"/>
        <v/>
      </c>
      <c r="X389" s="21" t="str">
        <f t="shared" si="442"/>
        <v/>
      </c>
      <c r="Z389" s="70" t="str">
        <f>IF(SUMIFS(TrackingTime!H:H,TrackingTime!F:F,Timer!B389,TrackingTime!C:C,"Hovedkontoret")&gt;0,SUMIFS(TrackingTime!H:H,TrackingTime!F:F,Timer!B389,TrackingTime!C:C,"Hovedkontoret"),"")</f>
        <v/>
      </c>
      <c r="AA389" s="71" t="str">
        <f t="shared" si="378"/>
        <v/>
      </c>
      <c r="AB389" t="str">
        <f>IF(SUMIFS(TrackingTime!H:H,TrackingTime!F:F,Timer!B389,TrackingTime!C:C,Start!$F$3)&gt;0,SUMIFS(TrackingTime!H:H,TrackingTime!F:F,Timer!B389,TrackingTime!C:C,Start!$F$3),"")</f>
        <v/>
      </c>
      <c r="AC389" s="71" t="str">
        <f t="shared" si="381"/>
        <v/>
      </c>
    </row>
    <row r="390" spans="1:29" x14ac:dyDescent="0.25">
      <c r="A390" s="15"/>
      <c r="B390" s="63">
        <f t="shared" si="443"/>
        <v>46240</v>
      </c>
      <c r="C390" t="str">
        <f>IFERROR(IF(OR(L390="Fri",L390="Ferie",L390="Syk",L390="Omsorg",B390&lt;Start!$B$7),0,IF(IFERROR(MATCH(B390,Start!A$253:A$273,0),0)&gt;0,VLOOKUP(B390,Start!A$253:F$273,3,FALSE)/100*Start!$B$4,VLOOKUP(WEEKDAY(B390,2),Start!A$240:F$246,4,FALSE))),"")</f>
        <v/>
      </c>
      <c r="D390" t="str">
        <f>IFERROR(IF(OR(U390="Fri",U390="Ferie",U390="Syk",U390="Omsorg",B390&lt;Start!$F$7),0,IF(IFERROR(MATCH(B390,Start!A$253:A$273,0),0)&gt;0,VLOOKUP(B390,Start!A$253:F$273,3,FALSE)/100*Start!$F$4,VLOOKUP(WEEKDAY(B390,2),Start!A$240:F$246,6,FALSE))),"")</f>
        <v/>
      </c>
      <c r="E390">
        <f t="shared" ca="1" si="403"/>
        <v>0</v>
      </c>
      <c r="F390">
        <f>IFERROR(IF(YEAR(B390)=Start!$B$1,MONTH(B390),""),"")</f>
        <v>8</v>
      </c>
      <c r="G390" s="64" t="str">
        <f>IFERROR(VLOOKUP(B390,Start!A$111:B$273,2,FALSE),"")</f>
        <v/>
      </c>
      <c r="H390" s="21"/>
      <c r="I390" s="78">
        <v>0.33333333333333331</v>
      </c>
      <c r="J390" s="78">
        <v>0.33333333333333331</v>
      </c>
      <c r="K390" s="1" t="str">
        <f>IF(Start!$B$6="Ja","",IF(((J390-I390)*24)&gt;=5.5,"X",""))</f>
        <v/>
      </c>
      <c r="L390" s="1" t="str">
        <f>IF(_xlfn.IFNA(MATCH($A387,Start!$H$3:$H$11,0),0)&gt;0,"Ferie",IFERROR(IF(VLOOKUP(B390,Start!A$165:B$234,2,FALSE)&gt;0,"Fri",0),IF(AND((J390-I390)=0,Z390=""),"",MAX((IF(K390="X",(J390-I390)*24-0.5,(J390-I390)*24)),Z390))))</f>
        <v/>
      </c>
      <c r="M390" s="58"/>
      <c r="N390" s="21" t="str">
        <f t="shared" si="439"/>
        <v/>
      </c>
      <c r="O390" s="21" t="str">
        <f t="shared" si="440"/>
        <v/>
      </c>
      <c r="P390" s="2"/>
      <c r="Q390" s="21"/>
      <c r="R390" s="78">
        <v>0.33333333333333331</v>
      </c>
      <c r="S390" s="78">
        <v>0.33333333333333331</v>
      </c>
      <c r="T390" s="1" t="str">
        <f>IF(Start!$B$6="Ja","",IF(((S390-R390)*24)&gt;=5.5,"X",""))</f>
        <v/>
      </c>
      <c r="U390" s="1" t="str">
        <f>IF(_xlfn.IFNA(MATCH($A$15,Start!$H$3:$H$11,0),0)&gt;0,"Ferie",(IF(L390="fri","Fri",(IF(L390="syk","Syk",IF(L390="Ferie","Ferie",IF(AND((S390-R390)=0,AB390=""),"",MAX((IF(T390="X",(S390-R390)*24-0.5,(S390-R390)*24)),AB390))))))))</f>
        <v/>
      </c>
      <c r="V390" s="58"/>
      <c r="W390" s="21" t="str">
        <f t="shared" si="441"/>
        <v/>
      </c>
      <c r="X390" s="21" t="str">
        <f t="shared" si="442"/>
        <v/>
      </c>
      <c r="Z390" s="70" t="str">
        <f>IF(SUMIFS(TrackingTime!H:H,TrackingTime!F:F,Timer!B390,TrackingTime!C:C,"Hovedkontoret")&gt;0,SUMIFS(TrackingTime!H:H,TrackingTime!F:F,Timer!B390,TrackingTime!C:C,"Hovedkontoret"),"")</f>
        <v/>
      </c>
      <c r="AA390" s="71" t="str">
        <f t="shared" si="378"/>
        <v/>
      </c>
      <c r="AB390" t="str">
        <f>IF(SUMIFS(TrackingTime!H:H,TrackingTime!F:F,Timer!B390,TrackingTime!C:C,Start!$F$3)&gt;0,SUMIFS(TrackingTime!H:H,TrackingTime!F:F,Timer!B390,TrackingTime!C:C,Start!$F$3),"")</f>
        <v/>
      </c>
      <c r="AC390" s="71" t="str">
        <f t="shared" si="381"/>
        <v/>
      </c>
    </row>
    <row r="391" spans="1:29" x14ac:dyDescent="0.25">
      <c r="A391" s="15"/>
      <c r="B391" s="63">
        <f t="shared" si="443"/>
        <v>46241</v>
      </c>
      <c r="C391" t="str">
        <f>IFERROR(IF(OR(L391="Fri",L391="Ferie",L391="Syk",L391="Omsorg",B391&lt;Start!$B$7),0,IF(IFERROR(MATCH(B391,Start!A$253:A$273,0),0)&gt;0,VLOOKUP(B391,Start!A$253:F$273,3,FALSE)/100*Start!$B$4,VLOOKUP(WEEKDAY(B391,2),Start!A$240:F$246,4,FALSE))),"")</f>
        <v/>
      </c>
      <c r="D391" t="str">
        <f>IFERROR(IF(OR(U391="Fri",U391="Ferie",U391="Syk",U391="Omsorg",B391&lt;Start!$F$7),0,IF(IFERROR(MATCH(B391,Start!A$253:A$273,0),0)&gt;0,VLOOKUP(B391,Start!A$253:F$273,3,FALSE)/100*Start!$F$4,VLOOKUP(WEEKDAY(B391,2),Start!A$240:F$246,6,FALSE))),"")</f>
        <v/>
      </c>
      <c r="E391">
        <f t="shared" ca="1" si="403"/>
        <v>0</v>
      </c>
      <c r="F391">
        <f>IFERROR(IF(YEAR(B391)=Start!$B$1,MONTH(B391),""),"")</f>
        <v>8</v>
      </c>
      <c r="G391" s="64" t="str">
        <f>IFERROR(VLOOKUP(B391,Start!A$111:B$273,2,FALSE),"")</f>
        <v/>
      </c>
      <c r="H391" s="21"/>
      <c r="I391" s="78">
        <v>0.33333333333333331</v>
      </c>
      <c r="J391" s="78">
        <v>0.33333333333333331</v>
      </c>
      <c r="K391" s="1" t="str">
        <f>IF(Start!$B$6="Ja","",IF(((J391-I391)*24)&gt;=5.5,"X",""))</f>
        <v/>
      </c>
      <c r="L391" s="1" t="str">
        <f>IF(_xlfn.IFNA(MATCH($A387,Start!$H$3:$H$11,0),0)&gt;0,"Ferie",IFERROR(IF(VLOOKUP(B391,Start!A$165:B$234,2,FALSE)&gt;0,"Fri",0),IF(AND((J391-I391)=0,Z391=""),"",MAX((IF(K391="X",(J391-I391)*24-0.5,(J391-I391)*24)),Z391))))</f>
        <v/>
      </c>
      <c r="M391" s="58"/>
      <c r="N391" s="21" t="str">
        <f t="shared" si="439"/>
        <v/>
      </c>
      <c r="O391" s="21" t="str">
        <f t="shared" si="440"/>
        <v/>
      </c>
      <c r="P391" s="2"/>
      <c r="Q391" s="21"/>
      <c r="R391" s="78">
        <v>0.33333333333333331</v>
      </c>
      <c r="S391" s="78">
        <v>0.33333333333333331</v>
      </c>
      <c r="T391" s="1" t="str">
        <f>IF(Start!$B$6="Ja","",IF(((S391-R391)*24)&gt;=5.5,"X",""))</f>
        <v/>
      </c>
      <c r="U391" s="1" t="str">
        <f>IF(_xlfn.IFNA(MATCH($A$15,Start!$H$3:$H$11,0),0)&gt;0,"Ferie",(IF(L391="fri","Fri",(IF(L391="syk","Syk",IF(L391="Ferie","Ferie",IF(AND((S391-R391)=0,AB391=""),"",MAX((IF(T391="X",(S391-R391)*24-0.5,(S391-R391)*24)),AB391))))))))</f>
        <v/>
      </c>
      <c r="V391" s="58"/>
      <c r="W391" s="21" t="str">
        <f t="shared" si="441"/>
        <v/>
      </c>
      <c r="X391" s="21" t="str">
        <f t="shared" si="442"/>
        <v/>
      </c>
      <c r="Z391" s="70" t="str">
        <f>IF(SUMIFS(TrackingTime!H:H,TrackingTime!F:F,Timer!B391,TrackingTime!C:C,"Hovedkontoret")&gt;0,SUMIFS(TrackingTime!H:H,TrackingTime!F:F,Timer!B391,TrackingTime!C:C,"Hovedkontoret"),"")</f>
        <v/>
      </c>
      <c r="AA391" s="71" t="str">
        <f t="shared" si="378"/>
        <v/>
      </c>
      <c r="AB391" t="str">
        <f>IF(SUMIFS(TrackingTime!H:H,TrackingTime!F:F,Timer!B391,TrackingTime!C:C,Start!$F$3)&gt;0,SUMIFS(TrackingTime!H:H,TrackingTime!F:F,Timer!B391,TrackingTime!C:C,Start!$F$3),"")</f>
        <v/>
      </c>
      <c r="AC391" s="71" t="str">
        <f t="shared" si="381"/>
        <v/>
      </c>
    </row>
    <row r="392" spans="1:29" x14ac:dyDescent="0.25">
      <c r="A392" s="15"/>
      <c r="B392" s="63">
        <f t="shared" si="443"/>
        <v>46242</v>
      </c>
      <c r="C392">
        <f>IFERROR(IF(OR(L392="Fri",L392="Ferie",L392="Syk",L392="Omsorg",B392&lt;Start!$B$7),0,IF(IFERROR(MATCH(B392,Start!A$253:A$273,0),0)&gt;0,VLOOKUP(B392,Start!A$253:F$273,3,FALSE)/100*Start!$B$4,VLOOKUP(WEEKDAY(B392,2),Start!A$240:F$246,4,FALSE))),"")</f>
        <v>0</v>
      </c>
      <c r="D392">
        <f>IFERROR(IF(OR(U392="Fri",U392="Ferie",U392="Syk",U392="Omsorg",B392&lt;Start!$F$7),0,IF(IFERROR(MATCH(B392,Start!A$253:A$273,0),0)&gt;0,VLOOKUP(B392,Start!A$253:F$273,3,FALSE)/100*Start!$F$4,VLOOKUP(WEEKDAY(B392,2),Start!A$240:F$246,6,FALSE))),"")</f>
        <v>0</v>
      </c>
      <c r="E392">
        <f t="shared" ca="1" si="403"/>
        <v>0</v>
      </c>
      <c r="F392">
        <f>IFERROR(IF(YEAR(B392)=Start!$B$1,MONTH(B392),""),"")</f>
        <v>8</v>
      </c>
      <c r="G392" s="64" t="str">
        <f>IFERROR(VLOOKUP(B392,Start!A$111:B$273,2,FALSE),"")</f>
        <v/>
      </c>
      <c r="H392" s="21"/>
      <c r="I392" s="78">
        <v>0.41666666666666669</v>
      </c>
      <c r="J392" s="78">
        <v>0.41666666666666669</v>
      </c>
      <c r="K392" s="1" t="str">
        <f>IF(Start!$B$6="Ja","",IF(((J392-I392)*24)&gt;=5.5,"X",""))</f>
        <v/>
      </c>
      <c r="L392" s="1" t="str">
        <f t="shared" ref="L392:L393" si="444">IF(AND((J392-I392)=0,Z392=""),"",MAX((IF(K392="X",(J392-I392)*24-0.5,(J392-I392)*24)),Z392))</f>
        <v/>
      </c>
      <c r="M392" s="58"/>
      <c r="N392" s="21" t="str">
        <f t="shared" si="439"/>
        <v/>
      </c>
      <c r="O392" s="21" t="str">
        <f t="shared" si="440"/>
        <v/>
      </c>
      <c r="P392" s="2"/>
      <c r="Q392" s="21"/>
      <c r="R392" s="78">
        <v>0.41666666666666669</v>
      </c>
      <c r="S392" s="78">
        <v>0.41666666666666669</v>
      </c>
      <c r="T392" s="1" t="str">
        <f>IF(Start!$B$6="Ja","",IF(((S392-R392)*24)&gt;=5.5,"X",""))</f>
        <v/>
      </c>
      <c r="U392" s="1" t="str">
        <f t="shared" ref="U392:U393" si="445">IF(AND((S392-R392)=0,AB392=""),"",MAX((IF(T392="X",(S392-R392)*24-0.5,(S392-R392)*24)),AB392))</f>
        <v/>
      </c>
      <c r="V392" s="58"/>
      <c r="W392" s="21" t="str">
        <f t="shared" si="441"/>
        <v/>
      </c>
      <c r="X392" s="21" t="str">
        <f t="shared" si="442"/>
        <v/>
      </c>
      <c r="Z392" s="70" t="str">
        <f>IF(SUMIFS(TrackingTime!H:H,TrackingTime!F:F,Timer!B392,TrackingTime!C:C,"Hovedkontoret")&gt;0,SUMIFS(TrackingTime!H:H,TrackingTime!F:F,Timer!B392,TrackingTime!C:C,"Hovedkontoret"),"")</f>
        <v/>
      </c>
      <c r="AA392" s="71" t="str">
        <f t="shared" si="378"/>
        <v/>
      </c>
      <c r="AB392" t="str">
        <f>IF(SUMIFS(TrackingTime!H:H,TrackingTime!F:F,Timer!B392,TrackingTime!C:C,Start!$F$3)&gt;0,SUMIFS(TrackingTime!H:H,TrackingTime!F:F,Timer!B392,TrackingTime!C:C,Start!$F$3),"")</f>
        <v/>
      </c>
      <c r="AC392" s="71" t="str">
        <f t="shared" si="381"/>
        <v/>
      </c>
    </row>
    <row r="393" spans="1:29" x14ac:dyDescent="0.25">
      <c r="A393" s="15"/>
      <c r="B393" s="63">
        <f t="shared" si="443"/>
        <v>46243</v>
      </c>
      <c r="C393">
        <f>IFERROR(IF(OR(L393="Fri",L393="Ferie",L393="Syk",L393="Omsorg",B393&lt;Start!$B$7),0,IF(IFERROR(MATCH(B393,Start!A$253:A$273,0),0)&gt;0,VLOOKUP(B393,Start!A$253:F$273,3,FALSE)/100*Start!$B$4,VLOOKUP(WEEKDAY(B393,2),Start!A$240:F$246,4,FALSE))),"")</f>
        <v>0</v>
      </c>
      <c r="D393">
        <f>IFERROR(IF(OR(U393="Fri",U393="Ferie",U393="Syk",U393="Omsorg",B393&lt;Start!$F$7),0,IF(IFERROR(MATCH(B393,Start!A$253:A$273,0),0)&gt;0,VLOOKUP(B393,Start!A$253:F$273,3,FALSE)/100*Start!$F$4,VLOOKUP(WEEKDAY(B393,2),Start!A$240:F$246,6,FALSE))),"")</f>
        <v>0</v>
      </c>
      <c r="E393">
        <f t="shared" ca="1" si="403"/>
        <v>0</v>
      </c>
      <c r="F393">
        <f>IFERROR(IF(YEAR(B393)=Start!$B$1,MONTH(B393),""),"")</f>
        <v>8</v>
      </c>
      <c r="G393" s="64" t="str">
        <f>IFERROR(VLOOKUP(B393,Start!A$111:B$273,2,FALSE),"")</f>
        <v/>
      </c>
      <c r="H393" s="25"/>
      <c r="I393" s="78">
        <v>0.41666666666666669</v>
      </c>
      <c r="J393" s="78">
        <v>0.41666666666666669</v>
      </c>
      <c r="K393" s="1" t="str">
        <f>IF(Start!$B$6="Ja","",IF(((J393-I393)*24)&gt;=5.5,"X",""))</f>
        <v/>
      </c>
      <c r="L393" s="1" t="str">
        <f t="shared" si="444"/>
        <v/>
      </c>
      <c r="M393" s="58"/>
      <c r="N393" s="21" t="str">
        <f t="shared" si="439"/>
        <v/>
      </c>
      <c r="O393" s="21" t="str">
        <f t="shared" si="440"/>
        <v/>
      </c>
      <c r="Q393" s="25"/>
      <c r="R393" s="78">
        <v>0.41666666666666669</v>
      </c>
      <c r="S393" s="78">
        <v>0.41666666666666669</v>
      </c>
      <c r="T393" s="1" t="str">
        <f>IF(Start!$B$6="Ja","",IF(((S393-R393)*24)&gt;=5.5,"X",""))</f>
        <v/>
      </c>
      <c r="U393" s="1" t="str">
        <f t="shared" si="445"/>
        <v/>
      </c>
      <c r="V393" s="58"/>
      <c r="W393" s="21" t="str">
        <f t="shared" si="441"/>
        <v/>
      </c>
      <c r="X393" s="21" t="str">
        <f t="shared" si="442"/>
        <v/>
      </c>
      <c r="Z393" s="70" t="str">
        <f>IF(SUMIFS(TrackingTime!H:H,TrackingTime!F:F,Timer!B393,TrackingTime!C:C,"Hovedkontoret")&gt;0,SUMIFS(TrackingTime!H:H,TrackingTime!F:F,Timer!B393,TrackingTime!C:C,"Hovedkontoret"),"")</f>
        <v/>
      </c>
      <c r="AA393" s="71" t="str">
        <f t="shared" si="378"/>
        <v/>
      </c>
      <c r="AB393" t="str">
        <f>IF(SUMIFS(TrackingTime!H:H,TrackingTime!F:F,Timer!B393,TrackingTime!C:C,Start!$F$3)&gt;0,SUMIFS(TrackingTime!H:H,TrackingTime!F:F,Timer!B393,TrackingTime!C:C,Start!$F$3),"")</f>
        <v/>
      </c>
      <c r="AC393" s="71" t="str">
        <f t="shared" si="381"/>
        <v/>
      </c>
    </row>
    <row r="394" spans="1:29" x14ac:dyDescent="0.25">
      <c r="A394" s="15"/>
      <c r="B394" s="4" t="s">
        <v>11</v>
      </c>
      <c r="C394" s="24"/>
      <c r="D394" s="24"/>
      <c r="E394" s="24">
        <f t="shared" ca="1" si="403"/>
        <v>0</v>
      </c>
      <c r="F394" s="24" t="str">
        <f>IFERROR(IF(YEAR(B394)=Start!$B$1,MONTH(B394),""),"")</f>
        <v/>
      </c>
      <c r="G394" s="64" t="str">
        <f>IFERROR(VLOOKUP(B394,Start!A$111:B$273,2,FALSE),"")</f>
        <v/>
      </c>
      <c r="H394" s="4"/>
      <c r="I394" s="4"/>
      <c r="J394" s="4"/>
      <c r="K394" s="4"/>
      <c r="L394" s="5">
        <f t="shared" si="430"/>
        <v>0</v>
      </c>
      <c r="N394" s="24"/>
      <c r="O394" s="39">
        <f t="shared" ref="O394" si="446">SUM(O387:O393)</f>
        <v>0</v>
      </c>
      <c r="P394" s="40"/>
      <c r="Q394" s="41"/>
      <c r="R394" s="4"/>
      <c r="S394" s="4"/>
      <c r="T394" s="4"/>
      <c r="U394" s="5">
        <f t="shared" ref="U394" si="447">SUM($U387:$U393)</f>
        <v>0</v>
      </c>
      <c r="V394" s="58"/>
      <c r="W394" s="39"/>
      <c r="X394" s="39">
        <f t="shared" si="391"/>
        <v>0</v>
      </c>
      <c r="Z394" s="70" t="str">
        <f>IF(SUMIFS(TrackingTime!H:H,TrackingTime!F:F,Timer!B394,TrackingTime!C:C,"Hovedkontoret")&gt;0,SUMIFS(TrackingTime!H:H,TrackingTime!F:F,Timer!B394,TrackingTime!C:C,"Hovedkontoret"),"")</f>
        <v/>
      </c>
      <c r="AA394" s="71" t="str">
        <f t="shared" si="378"/>
        <v/>
      </c>
      <c r="AB394" t="str">
        <f>IF(SUMIFS(TrackingTime!H:H,TrackingTime!F:F,Timer!B394,TrackingTime!C:C,Start!$F$3)&gt;0,SUMIFS(TrackingTime!H:H,TrackingTime!F:F,Timer!B394,TrackingTime!C:C,Start!$F$3),"")</f>
        <v/>
      </c>
      <c r="AC394" s="71" t="str">
        <f t="shared" si="381"/>
        <v/>
      </c>
    </row>
    <row r="395" spans="1:29" x14ac:dyDescent="0.25">
      <c r="A395" s="15"/>
      <c r="B395" t="s">
        <v>90</v>
      </c>
      <c r="E395">
        <f t="shared" ca="1" si="403"/>
        <v>0</v>
      </c>
      <c r="F395" t="str">
        <f>IFERROR(IF(YEAR(B395)=Start!$B$1,MONTH(B395),""),"")</f>
        <v/>
      </c>
      <c r="G395" s="64" t="str">
        <f>IFERROR(VLOOKUP(B395,Start!A$111:B$273,2,FALSE),"")</f>
        <v/>
      </c>
      <c r="L395" s="1">
        <f t="shared" si="433"/>
        <v>0</v>
      </c>
      <c r="M395" s="1"/>
      <c r="N395" s="1"/>
      <c r="O395" s="21">
        <f t="shared" ref="O395" si="448">L395</f>
        <v>0</v>
      </c>
      <c r="P395" s="40"/>
      <c r="Q395" s="21"/>
      <c r="U395" s="1">
        <f t="shared" ref="U395" si="449">SUMIFS(D387:D393,F387:F393,"&gt;0")</f>
        <v>0</v>
      </c>
      <c r="V395" s="1"/>
      <c r="W395" s="1"/>
      <c r="X395" s="21">
        <f>U395</f>
        <v>0</v>
      </c>
      <c r="Z395" s="70" t="str">
        <f>IF(SUMIFS(TrackingTime!H:H,TrackingTime!F:F,Timer!B395,TrackingTime!C:C,"Hovedkontoret")&gt;0,SUMIFS(TrackingTime!H:H,TrackingTime!F:F,Timer!B395,TrackingTime!C:C,"Hovedkontoret"),"")</f>
        <v/>
      </c>
      <c r="AA395" s="71" t="str">
        <f t="shared" si="378"/>
        <v/>
      </c>
      <c r="AB395" t="str">
        <f>IF(SUMIFS(TrackingTime!H:H,TrackingTime!F:F,Timer!B395,TrackingTime!C:C,Start!$F$3)&gt;0,SUMIFS(TrackingTime!H:H,TrackingTime!F:F,Timer!B395,TrackingTime!C:C,Start!$F$3),"")</f>
        <v/>
      </c>
      <c r="AC395" s="71" t="str">
        <f t="shared" si="381"/>
        <v/>
      </c>
    </row>
    <row r="396" spans="1:29" x14ac:dyDescent="0.25">
      <c r="A396" s="16">
        <f>B393-B387-1</f>
        <v>5</v>
      </c>
      <c r="B396" t="s">
        <v>117</v>
      </c>
      <c r="E396">
        <f t="shared" ca="1" si="403"/>
        <v>0</v>
      </c>
      <c r="F396" t="str">
        <f>IFERROR(IF(YEAR(B396)=Start!$B$1,MONTH(B396),""),"")</f>
        <v/>
      </c>
      <c r="G396" s="64" t="str">
        <f>IFERROR(VLOOKUP(B396,Start!A$111:B$273,2,FALSE),"")</f>
        <v/>
      </c>
      <c r="L396" s="77">
        <f t="shared" ca="1" si="436"/>
        <v>0</v>
      </c>
      <c r="O396" s="21">
        <f t="shared" ref="O396" si="450">O394-O395</f>
        <v>0</v>
      </c>
      <c r="P396" s="21"/>
      <c r="Q396" s="21"/>
      <c r="U396" s="1">
        <f t="shared" ref="U396" ca="1" si="451">U394-U395*(IF(NETWORKDAYS($B387,TODAY())&lt;0,0,IF(NETWORKDAYS($B387,TODAY())&lt;=$A396,NETWORKDAYS($B387,TODAY()),$A396)))/$A396</f>
        <v>0</v>
      </c>
      <c r="V396" s="58"/>
      <c r="W396" s="21"/>
      <c r="X396" s="21">
        <f>X394-X395</f>
        <v>0</v>
      </c>
      <c r="Z396" s="70" t="str">
        <f>IF(SUMIFS(TrackingTime!H:H,TrackingTime!F:F,Timer!B396,TrackingTime!C:C,"Hovedkontoret")&gt;0,SUMIFS(TrackingTime!H:H,TrackingTime!F:F,Timer!B396,TrackingTime!C:C,"Hovedkontoret"),"")</f>
        <v/>
      </c>
      <c r="AA396" s="71" t="str">
        <f t="shared" si="378"/>
        <v/>
      </c>
      <c r="AB396" t="str">
        <f>IF(SUMIFS(TrackingTime!H:H,TrackingTime!F:F,Timer!B396,TrackingTime!C:C,Start!$F$3)&gt;0,SUMIFS(TrackingTime!H:H,TrackingTime!F:F,Timer!B396,TrackingTime!C:C,Start!$F$3),"")</f>
        <v/>
      </c>
      <c r="AC396" s="71" t="str">
        <f t="shared" si="381"/>
        <v/>
      </c>
    </row>
    <row r="397" spans="1:29" x14ac:dyDescent="0.25">
      <c r="A397" s="15"/>
      <c r="E397">
        <f t="shared" ca="1" si="403"/>
        <v>1</v>
      </c>
      <c r="F397" t="str">
        <f>IFERROR(IF(YEAR(B397)=Start!$B$1,MONTH(B397),""),"")</f>
        <v/>
      </c>
      <c r="G397" s="64" t="str">
        <f>IFERROR(VLOOKUP(B397,Start!A$111:B$273,2,FALSE),"")</f>
        <v/>
      </c>
      <c r="O397" s="2"/>
      <c r="P397" s="2"/>
      <c r="U397" s="1"/>
      <c r="V397" s="7"/>
      <c r="X397" s="2"/>
      <c r="Z397" s="70" t="str">
        <f>IF(SUMIFS(TrackingTime!H:H,TrackingTime!F:F,Timer!B397,TrackingTime!C:C,"Hovedkontoret")&gt;0,SUMIFS(TrackingTime!H:H,TrackingTime!F:F,Timer!B397,TrackingTime!C:C,"Hovedkontoret"),"")</f>
        <v/>
      </c>
      <c r="AA397" s="71" t="str">
        <f t="shared" si="378"/>
        <v/>
      </c>
      <c r="AB397" t="str">
        <f>IF(SUMIFS(TrackingTime!H:H,TrackingTime!F:F,Timer!B397,TrackingTime!C:C,Start!$F$3)&gt;0,SUMIFS(TrackingTime!H:H,TrackingTime!F:F,Timer!B397,TrackingTime!C:C,Start!$F$3),"")</f>
        <v/>
      </c>
      <c r="AC397" s="71" t="str">
        <f t="shared" si="381"/>
        <v/>
      </c>
    </row>
    <row r="398" spans="1:29" x14ac:dyDescent="0.25">
      <c r="A398" s="2" t="s">
        <v>82</v>
      </c>
      <c r="B398" s="14" t="s">
        <v>83</v>
      </c>
      <c r="E398">
        <f t="shared" ca="1" si="403"/>
        <v>0</v>
      </c>
      <c r="F398" t="str">
        <f>IFERROR(IF(YEAR(B398)=Start!$B$1,MONTH(B398),""),"")</f>
        <v/>
      </c>
      <c r="G398" s="64" t="str">
        <f>IFERROR(VLOOKUP(B398,Start!A$111:B$273,2,FALSE),"")</f>
        <v/>
      </c>
      <c r="H398" s="2" t="s">
        <v>86</v>
      </c>
      <c r="I398" s="2" t="s">
        <v>125</v>
      </c>
      <c r="J398" s="2" t="s">
        <v>126</v>
      </c>
      <c r="K398" s="2" t="s">
        <v>127</v>
      </c>
      <c r="L398" s="3" t="s">
        <v>87</v>
      </c>
      <c r="M398" s="6"/>
      <c r="N398" s="2" t="s">
        <v>88</v>
      </c>
      <c r="O398" s="2" t="s">
        <v>89</v>
      </c>
      <c r="P398" s="2"/>
      <c r="Q398" s="2" t="s">
        <v>86</v>
      </c>
      <c r="R398" s="2" t="s">
        <v>125</v>
      </c>
      <c r="S398" s="2" t="s">
        <v>126</v>
      </c>
      <c r="T398" s="2" t="s">
        <v>127</v>
      </c>
      <c r="U398" s="3" t="s">
        <v>87</v>
      </c>
      <c r="V398" s="6"/>
      <c r="W398" s="2" t="s">
        <v>88</v>
      </c>
      <c r="X398" s="2" t="s">
        <v>89</v>
      </c>
      <c r="Z398" s="70" t="str">
        <f>IF(SUMIFS(TrackingTime!H:H,TrackingTime!F:F,Timer!B398,TrackingTime!C:C,"Hovedkontoret")&gt;0,SUMIFS(TrackingTime!H:H,TrackingTime!F:F,Timer!B398,TrackingTime!C:C,"Hovedkontoret"),"")</f>
        <v/>
      </c>
      <c r="AA398" s="71" t="str">
        <f t="shared" si="378"/>
        <v/>
      </c>
      <c r="AB398" t="str">
        <f>IF(SUMIFS(TrackingTime!H:H,TrackingTime!F:F,Timer!B398,TrackingTime!C:C,Start!$F$3)&gt;0,SUMIFS(TrackingTime!H:H,TrackingTime!F:F,Timer!B398,TrackingTime!C:C,Start!$F$3),"")</f>
        <v/>
      </c>
      <c r="AC398" s="71" t="str">
        <f t="shared" si="381"/>
        <v/>
      </c>
    </row>
    <row r="399" spans="1:29" x14ac:dyDescent="0.25">
      <c r="A399" s="15">
        <f>WEEKNUM(B399,21)</f>
        <v>33</v>
      </c>
      <c r="B399" s="63">
        <f>B393+(DAY(1))</f>
        <v>46244</v>
      </c>
      <c r="C399" t="str">
        <f>IFERROR(IF(OR(L399="Fri",L399="Ferie",L399="Syk",L399="Omsorg",B399&lt;Start!$B$7),0,IF(IFERROR(MATCH(B399,Start!A$253:A$273,0),0)&gt;0,VLOOKUP(B399,Start!A$253:F$273,3,FALSE)/100*Start!$B$4,VLOOKUP(WEEKDAY(B399,2),Start!A$240:F$246,4,FALSE))),"")</f>
        <v/>
      </c>
      <c r="D399" t="str">
        <f>IFERROR(IF(OR(U399="Fri",U399="Ferie",U399="Syk",U399="Omsorg",B399&lt;Start!$F$7),0,IF(IFERROR(MATCH(B399,Start!A$253:A$273,0),0)&gt;0,VLOOKUP(B399,Start!A$253:F$273,3,FALSE)/100*Start!$F$4,VLOOKUP(WEEKDAY(B399,2),Start!A$240:F$246,6,FALSE))),"")</f>
        <v/>
      </c>
      <c r="E399">
        <f t="shared" ca="1" si="403"/>
        <v>0</v>
      </c>
      <c r="F399">
        <f>IFERROR(IF(YEAR(B399)=Start!$B$1,MONTH(B399),""),"")</f>
        <v>8</v>
      </c>
      <c r="G399" s="64" t="str">
        <f>IFERROR(VLOOKUP(B399,Start!A$111:B$273,2,FALSE),"")</f>
        <v/>
      </c>
      <c r="H399" s="21"/>
      <c r="I399" s="78">
        <v>0.33333333333333331</v>
      </c>
      <c r="J399" s="78">
        <v>0.33333333333333331</v>
      </c>
      <c r="K399" s="1" t="str">
        <f>IF(Start!$B$6="Ja","",IF(((J399-I399)*24)&gt;=5.5,"X",""))</f>
        <v/>
      </c>
      <c r="L399" s="1" t="str">
        <f>IF(_xlfn.IFNA(MATCH($A399,Start!$H$3:$H$11,0),0)&gt;0,"Ferie",IFERROR(IF(VLOOKUP(B399,Start!A$165:B$234,2,FALSE)&gt;0,"Fri",0),IF(AND((J399-I399)=0,Z399=""),"",MAX((IF(K399="X",(J399-I399)*24-0.5,(J399-I399)*24)),Z399))))</f>
        <v/>
      </c>
      <c r="M399" s="58"/>
      <c r="N399" s="21" t="str">
        <f t="shared" ref="N399:N405" si="452">IF(H399=0,"",H399)</f>
        <v/>
      </c>
      <c r="O399" s="21" t="str">
        <f t="shared" ref="O399:O405" si="453">IF(L399=0,"",L399)</f>
        <v/>
      </c>
      <c r="P399" s="2"/>
      <c r="Q399" s="21"/>
      <c r="R399" s="78">
        <v>0.33333333333333331</v>
      </c>
      <c r="S399" s="78">
        <v>0.33333333333333331</v>
      </c>
      <c r="T399" s="1" t="str">
        <f>IF(Start!$B$6="Ja","",IF(((S399-R399)*24)&gt;=5.5,"X",""))</f>
        <v/>
      </c>
      <c r="U399" s="1" t="str">
        <f>IF(_xlfn.IFNA(MATCH($A$15,Start!$H$3:$H$11,0),0)&gt;0,"Ferie",(IF(L399="fri","Fri",(IF(L399="syk","Syk",IF(L399="Ferie","Ferie",IF(AND((S399-R399)=0,AB399=""),"",MAX((IF(T399="X",(S399-R399)*24-0.5,(S399-R399)*24)),AB399))))))))</f>
        <v/>
      </c>
      <c r="V399" s="58"/>
      <c r="W399" s="21" t="str">
        <f t="shared" ref="W399:W405" si="454">IF(Q399=0,"",Q399)</f>
        <v/>
      </c>
      <c r="X399" s="21" t="str">
        <f t="shared" ref="X399:X405" si="455">IF(U399=0,"",U399)</f>
        <v/>
      </c>
      <c r="Z399" s="70" t="str">
        <f>IF(SUMIFS(TrackingTime!H:H,TrackingTime!F:F,Timer!B399,TrackingTime!C:C,"Hovedkontoret")&gt;0,SUMIFS(TrackingTime!H:H,TrackingTime!F:F,Timer!B399,TrackingTime!C:C,"Hovedkontoret"),"")</f>
        <v/>
      </c>
      <c r="AA399" s="71" t="str">
        <f t="shared" ref="AA399:AA462" si="456">IFERROR(Z399/24,"")</f>
        <v/>
      </c>
      <c r="AB399" t="str">
        <f>IF(SUMIFS(TrackingTime!H:H,TrackingTime!F:F,Timer!B399,TrackingTime!C:C,Start!$F$3)&gt;0,SUMIFS(TrackingTime!H:H,TrackingTime!F:F,Timer!B399,TrackingTime!C:C,Start!$F$3),"")</f>
        <v/>
      </c>
      <c r="AC399" s="71" t="str">
        <f t="shared" si="381"/>
        <v/>
      </c>
    </row>
    <row r="400" spans="1:29" x14ac:dyDescent="0.25">
      <c r="A400" s="15"/>
      <c r="B400" s="63">
        <f t="shared" ref="B400:B405" si="457">B399+DAY(1)</f>
        <v>46245</v>
      </c>
      <c r="C400" t="str">
        <f>IFERROR(IF(OR(L400="Fri",L400="Ferie",L400="Syk",L400="Omsorg",B400&lt;Start!$B$7),0,IF(IFERROR(MATCH(B400,Start!A$253:A$273,0),0)&gt;0,VLOOKUP(B400,Start!A$253:F$273,3,FALSE)/100*Start!$B$4,VLOOKUP(WEEKDAY(B400,2),Start!A$240:F$246,4,FALSE))),"")</f>
        <v/>
      </c>
      <c r="D400" t="str">
        <f>IFERROR(IF(OR(U400="Fri",U400="Ferie",U400="Syk",U400="Omsorg",B400&lt;Start!$F$7),0,IF(IFERROR(MATCH(B400,Start!A$253:A$273,0),0)&gt;0,VLOOKUP(B400,Start!A$253:F$273,3,FALSE)/100*Start!$F$4,VLOOKUP(WEEKDAY(B400,2),Start!A$240:F$246,6,FALSE))),"")</f>
        <v/>
      </c>
      <c r="E400">
        <f t="shared" ca="1" si="403"/>
        <v>0</v>
      </c>
      <c r="F400">
        <f>IFERROR(IF(YEAR(B400)=Start!$B$1,MONTH(B400),""),"")</f>
        <v>8</v>
      </c>
      <c r="G400" s="64" t="str">
        <f>IFERROR(VLOOKUP(B400,Start!A$111:B$273,2,FALSE),"")</f>
        <v/>
      </c>
      <c r="H400" s="21"/>
      <c r="I400" s="78">
        <v>0.33333333333333331</v>
      </c>
      <c r="J400" s="78">
        <v>0.33333333333333331</v>
      </c>
      <c r="K400" s="1" t="str">
        <f>IF(Start!$B$6="Ja","",IF(((J400-I400)*24)&gt;=5.5,"X",""))</f>
        <v/>
      </c>
      <c r="L400" s="1" t="str">
        <f>IF(_xlfn.IFNA(MATCH($A399,Start!$H$3:$H$11,0),0)&gt;0,"Ferie",IFERROR(IF(VLOOKUP($B400,Start!$A$165:$B$234,2,FALSE)&gt;0,"Fri",0),IF(AND((J400-I400)=0,Z400=""),"",MAX((IF(K400="X",(J400-I400)*24-0.5,(J400-I400)*24)),Z400))))</f>
        <v/>
      </c>
      <c r="M400" s="58"/>
      <c r="N400" s="21" t="str">
        <f t="shared" si="452"/>
        <v/>
      </c>
      <c r="O400" s="21" t="str">
        <f t="shared" si="453"/>
        <v/>
      </c>
      <c r="P400" s="2"/>
      <c r="Q400" s="21"/>
      <c r="R400" s="78">
        <v>0.33333333333333331</v>
      </c>
      <c r="S400" s="78">
        <v>0.33333333333333331</v>
      </c>
      <c r="T400" s="1" t="str">
        <f>IF(Start!$B$6="Ja","",IF(((S400-R400)*24)&gt;=5.5,"X",""))</f>
        <v/>
      </c>
      <c r="U400" s="1" t="str">
        <f>IF(_xlfn.IFNA(MATCH($A$15,Start!$H$3:$H$11,0),0)&gt;0,"Ferie",(IF(L400="fri","Fri",(IF(L400="syk","Syk",IF(L400="Ferie","Ferie",IF(AND((S400-R400)=0,AB400=""),"",MAX((IF(T400="X",(S400-R400)*24-0.5,(S400-R400)*24)),AB400))))))))</f>
        <v/>
      </c>
      <c r="V400" s="58"/>
      <c r="W400" s="21" t="str">
        <f t="shared" si="454"/>
        <v/>
      </c>
      <c r="X400" s="21" t="str">
        <f t="shared" si="455"/>
        <v/>
      </c>
      <c r="Z400" s="70" t="str">
        <f>IF(SUMIFS(TrackingTime!H:H,TrackingTime!F:F,Timer!B400,TrackingTime!C:C,"Hovedkontoret")&gt;0,SUMIFS(TrackingTime!H:H,TrackingTime!F:F,Timer!B400,TrackingTime!C:C,"Hovedkontoret"),"")</f>
        <v/>
      </c>
      <c r="AA400" s="71" t="str">
        <f t="shared" si="456"/>
        <v/>
      </c>
      <c r="AB400" t="str">
        <f>IF(SUMIFS(TrackingTime!H:H,TrackingTime!F:F,Timer!B400,TrackingTime!C:C,Start!$F$3)&gt;0,SUMIFS(TrackingTime!H:H,TrackingTime!F:F,Timer!B400,TrackingTime!C:C,Start!$F$3),"")</f>
        <v/>
      </c>
      <c r="AC400" s="71" t="str">
        <f t="shared" ref="AC400:AC463" si="458">IFERROR(AB400/24,"")</f>
        <v/>
      </c>
    </row>
    <row r="401" spans="1:29" x14ac:dyDescent="0.25">
      <c r="A401" s="15"/>
      <c r="B401" s="63">
        <f t="shared" si="457"/>
        <v>46246</v>
      </c>
      <c r="C401" t="str">
        <f>IFERROR(IF(OR(L401="Fri",L401="Ferie",L401="Syk",L401="Omsorg",B401&lt;Start!$B$7),0,IF(IFERROR(MATCH(B401,Start!A$253:A$273,0),0)&gt;0,VLOOKUP(B401,Start!A$253:F$273,3,FALSE)/100*Start!$B$4,VLOOKUP(WEEKDAY(B401,2),Start!A$240:F$246,4,FALSE))),"")</f>
        <v/>
      </c>
      <c r="D401" t="str">
        <f>IFERROR(IF(OR(U401="Fri",U401="Ferie",U401="Syk",U401="Omsorg",B401&lt;Start!$F$7),0,IF(IFERROR(MATCH(B401,Start!A$253:A$273,0),0)&gt;0,VLOOKUP(B401,Start!A$253:F$273,3,FALSE)/100*Start!$F$4,VLOOKUP(WEEKDAY(B401,2),Start!A$240:F$246,6,FALSE))),"")</f>
        <v/>
      </c>
      <c r="E401">
        <f t="shared" ca="1" si="403"/>
        <v>0</v>
      </c>
      <c r="F401">
        <f>IFERROR(IF(YEAR(B401)=Start!$B$1,MONTH(B401),""),"")</f>
        <v>8</v>
      </c>
      <c r="G401" s="64" t="str">
        <f>IFERROR(VLOOKUP(B401,Start!A$111:B$273,2,FALSE),"")</f>
        <v/>
      </c>
      <c r="H401" s="21"/>
      <c r="I401" s="78">
        <v>0.33333333333333331</v>
      </c>
      <c r="J401" s="78">
        <v>0.33333333333333331</v>
      </c>
      <c r="K401" s="1" t="str">
        <f>IF(Start!$B$6="Ja","",IF(((J401-I401)*24)&gt;=5.5,"X",""))</f>
        <v/>
      </c>
      <c r="L401" s="1" t="str">
        <f>IF(_xlfn.IFNA(MATCH($A399,Start!$H$3:$H$11,0),0)&gt;0,"Ferie",IFERROR(IF(VLOOKUP(B401,Start!A$165:B$234,2,FALSE)&gt;0,"Fri",0),IF(AND((J401-I401)=0,Z401=""),"",MAX((IF(K401="X",(J401-I401)*24-0.5,(J401-I401)*24)),Z401))))</f>
        <v/>
      </c>
      <c r="M401" s="58"/>
      <c r="N401" s="21" t="str">
        <f t="shared" si="452"/>
        <v/>
      </c>
      <c r="O401" s="21" t="str">
        <f t="shared" si="453"/>
        <v/>
      </c>
      <c r="P401" s="2"/>
      <c r="Q401" s="21"/>
      <c r="R401" s="78">
        <v>0.33333333333333331</v>
      </c>
      <c r="S401" s="78">
        <v>0.33333333333333331</v>
      </c>
      <c r="T401" s="1" t="str">
        <f>IF(Start!$B$6="Ja","",IF(((S401-R401)*24)&gt;=5.5,"X",""))</f>
        <v/>
      </c>
      <c r="U401" s="1" t="str">
        <f>IF(_xlfn.IFNA(MATCH($A$15,Start!$H$3:$H$11,0),0)&gt;0,"Ferie",(IF(L401="fri","Fri",(IF(L401="syk","Syk",IF(L401="Ferie","Ferie",IF(AND((S401-R401)=0,AB401=""),"",MAX((IF(T401="X",(S401-R401)*24-0.5,(S401-R401)*24)),AB401))))))))</f>
        <v/>
      </c>
      <c r="V401" s="58"/>
      <c r="W401" s="21" t="str">
        <f t="shared" si="454"/>
        <v/>
      </c>
      <c r="X401" s="21" t="str">
        <f t="shared" si="455"/>
        <v/>
      </c>
      <c r="Z401" s="70" t="str">
        <f>IF(SUMIFS(TrackingTime!H:H,TrackingTime!F:F,Timer!B401,TrackingTime!C:C,"Hovedkontoret")&gt;0,SUMIFS(TrackingTime!H:H,TrackingTime!F:F,Timer!B401,TrackingTime!C:C,"Hovedkontoret"),"")</f>
        <v/>
      </c>
      <c r="AA401" s="71" t="str">
        <f t="shared" si="456"/>
        <v/>
      </c>
      <c r="AB401" t="str">
        <f>IF(SUMIFS(TrackingTime!H:H,TrackingTime!F:F,Timer!B401,TrackingTime!C:C,Start!$F$3)&gt;0,SUMIFS(TrackingTime!H:H,TrackingTime!F:F,Timer!B401,TrackingTime!C:C,Start!$F$3),"")</f>
        <v/>
      </c>
      <c r="AC401" s="71" t="str">
        <f t="shared" si="458"/>
        <v/>
      </c>
    </row>
    <row r="402" spans="1:29" x14ac:dyDescent="0.25">
      <c r="A402" s="15"/>
      <c r="B402" s="63">
        <f t="shared" si="457"/>
        <v>46247</v>
      </c>
      <c r="C402" t="str">
        <f>IFERROR(IF(OR(L402="Fri",L402="Ferie",L402="Syk",L402="Omsorg",B402&lt;Start!$B$7),0,IF(IFERROR(MATCH(B402,Start!A$253:A$273,0),0)&gt;0,VLOOKUP(B402,Start!A$253:F$273,3,FALSE)/100*Start!$B$4,VLOOKUP(WEEKDAY(B402,2),Start!A$240:F$246,4,FALSE))),"")</f>
        <v/>
      </c>
      <c r="D402" t="str">
        <f>IFERROR(IF(OR(U402="Fri",U402="Ferie",U402="Syk",U402="Omsorg",B402&lt;Start!$F$7),0,IF(IFERROR(MATCH(B402,Start!A$253:A$273,0),0)&gt;0,VLOOKUP(B402,Start!A$253:F$273,3,FALSE)/100*Start!$F$4,VLOOKUP(WEEKDAY(B402,2),Start!A$240:F$246,6,FALSE))),"")</f>
        <v/>
      </c>
      <c r="E402">
        <f t="shared" ca="1" si="403"/>
        <v>0</v>
      </c>
      <c r="F402">
        <f>IFERROR(IF(YEAR(B402)=Start!$B$1,MONTH(B402),""),"")</f>
        <v>8</v>
      </c>
      <c r="G402" s="64" t="str">
        <f>IFERROR(VLOOKUP(B402,Start!A$111:B$273,2,FALSE),"")</f>
        <v/>
      </c>
      <c r="H402" s="21"/>
      <c r="I402" s="78">
        <v>0.33333333333333331</v>
      </c>
      <c r="J402" s="78">
        <v>0.33333333333333331</v>
      </c>
      <c r="K402" s="1" t="str">
        <f>IF(Start!$B$6="Ja","",IF(((J402-I402)*24)&gt;=5.5,"X",""))</f>
        <v/>
      </c>
      <c r="L402" s="1" t="str">
        <f>IF(_xlfn.IFNA(MATCH($A399,Start!$H$3:$H$11,0),0)&gt;0,"Ferie",IFERROR(IF(VLOOKUP(B402,Start!A$165:B$234,2,FALSE)&gt;0,"Fri",0),IF(AND((J402-I402)=0,Z402=""),"",MAX((IF(K402="X",(J402-I402)*24-0.5,(J402-I402)*24)),Z402))))</f>
        <v/>
      </c>
      <c r="M402" s="58"/>
      <c r="N402" s="21" t="str">
        <f t="shared" si="452"/>
        <v/>
      </c>
      <c r="O402" s="21" t="str">
        <f t="shared" si="453"/>
        <v/>
      </c>
      <c r="P402" s="2"/>
      <c r="Q402" s="21"/>
      <c r="R402" s="78">
        <v>0.33333333333333331</v>
      </c>
      <c r="S402" s="78">
        <v>0.33333333333333331</v>
      </c>
      <c r="T402" s="1" t="str">
        <f>IF(Start!$B$6="Ja","",IF(((S402-R402)*24)&gt;=5.5,"X",""))</f>
        <v/>
      </c>
      <c r="U402" s="1" t="str">
        <f>IF(_xlfn.IFNA(MATCH($A$15,Start!$H$3:$H$11,0),0)&gt;0,"Ferie",(IF(L402="fri","Fri",(IF(L402="syk","Syk",IF(L402="Ferie","Ferie",IF(AND((S402-R402)=0,AB402=""),"",MAX((IF(T402="X",(S402-R402)*24-0.5,(S402-R402)*24)),AB402))))))))</f>
        <v/>
      </c>
      <c r="V402" s="58"/>
      <c r="W402" s="21" t="str">
        <f t="shared" si="454"/>
        <v/>
      </c>
      <c r="X402" s="21" t="str">
        <f t="shared" si="455"/>
        <v/>
      </c>
      <c r="Z402" s="70" t="str">
        <f>IF(SUMIFS(TrackingTime!H:H,TrackingTime!F:F,Timer!B402,TrackingTime!C:C,"Hovedkontoret")&gt;0,SUMIFS(TrackingTime!H:H,TrackingTime!F:F,Timer!B402,TrackingTime!C:C,"Hovedkontoret"),"")</f>
        <v/>
      </c>
      <c r="AA402" s="71" t="str">
        <f t="shared" si="456"/>
        <v/>
      </c>
      <c r="AB402" t="str">
        <f>IF(SUMIFS(TrackingTime!H:H,TrackingTime!F:F,Timer!B402,TrackingTime!C:C,Start!$F$3)&gt;0,SUMIFS(TrackingTime!H:H,TrackingTime!F:F,Timer!B402,TrackingTime!C:C,Start!$F$3),"")</f>
        <v/>
      </c>
      <c r="AC402" s="71" t="str">
        <f t="shared" si="458"/>
        <v/>
      </c>
    </row>
    <row r="403" spans="1:29" x14ac:dyDescent="0.25">
      <c r="A403" s="15"/>
      <c r="B403" s="63">
        <f t="shared" si="457"/>
        <v>46248</v>
      </c>
      <c r="C403" t="str">
        <f>IFERROR(IF(OR(L403="Fri",L403="Ferie",L403="Syk",L403="Omsorg",B403&lt;Start!$B$7),0,IF(IFERROR(MATCH(B403,Start!A$253:A$273,0),0)&gt;0,VLOOKUP(B403,Start!A$253:F$273,3,FALSE)/100*Start!$B$4,VLOOKUP(WEEKDAY(B403,2),Start!A$240:F$246,4,FALSE))),"")</f>
        <v/>
      </c>
      <c r="D403" t="str">
        <f>IFERROR(IF(OR(U403="Fri",U403="Ferie",U403="Syk",U403="Omsorg",B403&lt;Start!$F$7),0,IF(IFERROR(MATCH(B403,Start!A$253:A$273,0),0)&gt;0,VLOOKUP(B403,Start!A$253:F$273,3,FALSE)/100*Start!$F$4,VLOOKUP(WEEKDAY(B403,2),Start!A$240:F$246,6,FALSE))),"")</f>
        <v/>
      </c>
      <c r="E403">
        <f t="shared" ca="1" si="403"/>
        <v>0</v>
      </c>
      <c r="F403">
        <f>IFERROR(IF(YEAR(B403)=Start!$B$1,MONTH(B403),""),"")</f>
        <v>8</v>
      </c>
      <c r="G403" s="64" t="str">
        <f>IFERROR(VLOOKUP(B403,Start!A$111:B$273,2,FALSE),"")</f>
        <v/>
      </c>
      <c r="H403" s="21"/>
      <c r="I403" s="78">
        <v>0.33333333333333331</v>
      </c>
      <c r="J403" s="78">
        <v>0.33333333333333331</v>
      </c>
      <c r="K403" s="1" t="str">
        <f>IF(Start!$B$6="Ja","",IF(((J403-I403)*24)&gt;=5.5,"X",""))</f>
        <v/>
      </c>
      <c r="L403" s="1" t="str">
        <f>IF(_xlfn.IFNA(MATCH($A399,Start!$H$3:$H$11,0),0)&gt;0,"Ferie",IFERROR(IF(VLOOKUP(B403,Start!A$165:B$234,2,FALSE)&gt;0,"Fri",0),IF(AND((J403-I403)=0,Z403=""),"",MAX((IF(K403="X",(J403-I403)*24-0.5,(J403-I403)*24)),Z403))))</f>
        <v/>
      </c>
      <c r="M403" s="58"/>
      <c r="N403" s="21" t="str">
        <f t="shared" si="452"/>
        <v/>
      </c>
      <c r="O403" s="21" t="str">
        <f t="shared" si="453"/>
        <v/>
      </c>
      <c r="P403" s="2"/>
      <c r="Q403" s="21"/>
      <c r="R403" s="78">
        <v>0.33333333333333331</v>
      </c>
      <c r="S403" s="78">
        <v>0.33333333333333331</v>
      </c>
      <c r="T403" s="1" t="str">
        <f>IF(Start!$B$6="Ja","",IF(((S403-R403)*24)&gt;=5.5,"X",""))</f>
        <v/>
      </c>
      <c r="U403" s="1" t="str">
        <f>IF(_xlfn.IFNA(MATCH($A$15,Start!$H$3:$H$11,0),0)&gt;0,"Ferie",(IF(L403="fri","Fri",(IF(L403="syk","Syk",IF(L403="Ferie","Ferie",IF(AND((S403-R403)=0,AB403=""),"",MAX((IF(T403="X",(S403-R403)*24-0.5,(S403-R403)*24)),AB403))))))))</f>
        <v/>
      </c>
      <c r="V403" s="58"/>
      <c r="W403" s="21" t="str">
        <f t="shared" si="454"/>
        <v/>
      </c>
      <c r="X403" s="21" t="str">
        <f t="shared" si="455"/>
        <v/>
      </c>
      <c r="Z403" s="70" t="str">
        <f>IF(SUMIFS(TrackingTime!H:H,TrackingTime!F:F,Timer!B403,TrackingTime!C:C,"Hovedkontoret")&gt;0,SUMIFS(TrackingTime!H:H,TrackingTime!F:F,Timer!B403,TrackingTime!C:C,"Hovedkontoret"),"")</f>
        <v/>
      </c>
      <c r="AA403" s="71" t="str">
        <f t="shared" si="456"/>
        <v/>
      </c>
      <c r="AB403" t="str">
        <f>IF(SUMIFS(TrackingTime!H:H,TrackingTime!F:F,Timer!B403,TrackingTime!C:C,Start!$F$3)&gt;0,SUMIFS(TrackingTime!H:H,TrackingTime!F:F,Timer!B403,TrackingTime!C:C,Start!$F$3),"")</f>
        <v/>
      </c>
      <c r="AC403" s="71" t="str">
        <f t="shared" si="458"/>
        <v/>
      </c>
    </row>
    <row r="404" spans="1:29" x14ac:dyDescent="0.25">
      <c r="A404" s="15"/>
      <c r="B404" s="63">
        <f t="shared" si="457"/>
        <v>46249</v>
      </c>
      <c r="C404">
        <f>IFERROR(IF(OR(L404="Fri",L404="Ferie",L404="Syk",L404="Omsorg",B404&lt;Start!$B$7),0,IF(IFERROR(MATCH(B404,Start!A$253:A$273,0),0)&gt;0,VLOOKUP(B404,Start!A$253:F$273,3,FALSE)/100*Start!$B$4,VLOOKUP(WEEKDAY(B404,2),Start!A$240:F$246,4,FALSE))),"")</f>
        <v>0</v>
      </c>
      <c r="D404">
        <f>IFERROR(IF(OR(U404="Fri",U404="Ferie",U404="Syk",U404="Omsorg",B404&lt;Start!$F$7),0,IF(IFERROR(MATCH(B404,Start!A$253:A$273,0),0)&gt;0,VLOOKUP(B404,Start!A$253:F$273,3,FALSE)/100*Start!$F$4,VLOOKUP(WEEKDAY(B404,2),Start!A$240:F$246,6,FALSE))),"")</f>
        <v>0</v>
      </c>
      <c r="E404">
        <f t="shared" ca="1" si="403"/>
        <v>0</v>
      </c>
      <c r="F404">
        <f>IFERROR(IF(YEAR(B404)=Start!$B$1,MONTH(B404),""),"")</f>
        <v>8</v>
      </c>
      <c r="G404" s="64" t="str">
        <f>IFERROR(VLOOKUP(B404,Start!A$111:B$273,2,FALSE),"")</f>
        <v/>
      </c>
      <c r="H404" s="21"/>
      <c r="I404" s="78">
        <v>0.41666666666666669</v>
      </c>
      <c r="J404" s="78">
        <v>0.41666666666666669</v>
      </c>
      <c r="K404" s="1" t="str">
        <f>IF(Start!$B$6="Ja","",IF(((J404-I404)*24)&gt;=5.5,"X",""))</f>
        <v/>
      </c>
      <c r="L404" s="1" t="str">
        <f t="shared" ref="L404:L405" si="459">IF(AND((J404-I404)=0,Z404=""),"",MAX((IF(K404="X",(J404-I404)*24-0.5,(J404-I404)*24)),Z404))</f>
        <v/>
      </c>
      <c r="M404" s="58"/>
      <c r="N404" s="21" t="str">
        <f t="shared" si="452"/>
        <v/>
      </c>
      <c r="O404" s="21" t="str">
        <f t="shared" si="453"/>
        <v/>
      </c>
      <c r="P404" s="2"/>
      <c r="Q404" s="21"/>
      <c r="R404" s="78">
        <v>0.41666666666666669</v>
      </c>
      <c r="S404" s="78">
        <v>0.41666666666666669</v>
      </c>
      <c r="T404" s="1" t="str">
        <f>IF(Start!$B$6="Ja","",IF(((S404-R404)*24)&gt;=5.5,"X",""))</f>
        <v/>
      </c>
      <c r="U404" s="1" t="str">
        <f t="shared" ref="U404:U405" si="460">IF(AND((S404-R404)=0,AB404=""),"",MAX((IF(T404="X",(S404-R404)*24-0.5,(S404-R404)*24)),AB404))</f>
        <v/>
      </c>
      <c r="V404" s="58"/>
      <c r="W404" s="21" t="str">
        <f t="shared" si="454"/>
        <v/>
      </c>
      <c r="X404" s="21" t="str">
        <f t="shared" si="455"/>
        <v/>
      </c>
      <c r="Z404" s="70" t="str">
        <f>IF(SUMIFS(TrackingTime!H:H,TrackingTime!F:F,Timer!B404,TrackingTime!C:C,"Hovedkontoret")&gt;0,SUMIFS(TrackingTime!H:H,TrackingTime!F:F,Timer!B404,TrackingTime!C:C,"Hovedkontoret"),"")</f>
        <v/>
      </c>
      <c r="AA404" s="71" t="str">
        <f t="shared" si="456"/>
        <v/>
      </c>
      <c r="AB404" t="str">
        <f>IF(SUMIFS(TrackingTime!H:H,TrackingTime!F:F,Timer!B404,TrackingTime!C:C,Start!$F$3)&gt;0,SUMIFS(TrackingTime!H:H,TrackingTime!F:F,Timer!B404,TrackingTime!C:C,Start!$F$3),"")</f>
        <v/>
      </c>
      <c r="AC404" s="71" t="str">
        <f t="shared" si="458"/>
        <v/>
      </c>
    </row>
    <row r="405" spans="1:29" x14ac:dyDescent="0.25">
      <c r="A405" s="15"/>
      <c r="B405" s="63">
        <f t="shared" si="457"/>
        <v>46250</v>
      </c>
      <c r="C405">
        <f>IFERROR(IF(OR(L405="Fri",L405="Ferie",L405="Syk",L405="Omsorg",B405&lt;Start!$B$7),0,IF(IFERROR(MATCH(B405,Start!A$253:A$273,0),0)&gt;0,VLOOKUP(B405,Start!A$253:F$273,3,FALSE)/100*Start!$B$4,VLOOKUP(WEEKDAY(B405,2),Start!A$240:F$246,4,FALSE))),"")</f>
        <v>0</v>
      </c>
      <c r="D405">
        <f>IFERROR(IF(OR(U405="Fri",U405="Ferie",U405="Syk",U405="Omsorg",B405&lt;Start!$F$7),0,IF(IFERROR(MATCH(B405,Start!A$253:A$273,0),0)&gt;0,VLOOKUP(B405,Start!A$253:F$273,3,FALSE)/100*Start!$F$4,VLOOKUP(WEEKDAY(B405,2),Start!A$240:F$246,6,FALSE))),"")</f>
        <v>0</v>
      </c>
      <c r="E405">
        <f t="shared" ca="1" si="403"/>
        <v>0</v>
      </c>
      <c r="F405">
        <f>IFERROR(IF(YEAR(B405)=Start!$B$1,MONTH(B405),""),"")</f>
        <v>8</v>
      </c>
      <c r="G405" s="64" t="str">
        <f>IFERROR(VLOOKUP(B405,Start!A$111:B$273,2,FALSE),"")</f>
        <v/>
      </c>
      <c r="H405" s="25"/>
      <c r="I405" s="78">
        <v>0.41666666666666669</v>
      </c>
      <c r="J405" s="78">
        <v>0.41666666666666669</v>
      </c>
      <c r="K405" s="1" t="str">
        <f>IF(Start!$B$6="Ja","",IF(((J405-I405)*24)&gt;=5.5,"X",""))</f>
        <v/>
      </c>
      <c r="L405" s="1" t="str">
        <f t="shared" si="459"/>
        <v/>
      </c>
      <c r="M405" s="58"/>
      <c r="N405" s="21" t="str">
        <f t="shared" si="452"/>
        <v/>
      </c>
      <c r="O405" s="21" t="str">
        <f t="shared" si="453"/>
        <v/>
      </c>
      <c r="Q405" s="25"/>
      <c r="R405" s="78">
        <v>0.41666666666666669</v>
      </c>
      <c r="S405" s="78">
        <v>0.41666666666666669</v>
      </c>
      <c r="T405" s="1" t="str">
        <f>IF(Start!$B$6="Ja","",IF(((S405-R405)*24)&gt;=5.5,"X",""))</f>
        <v/>
      </c>
      <c r="U405" s="1" t="str">
        <f t="shared" si="460"/>
        <v/>
      </c>
      <c r="V405" s="58"/>
      <c r="W405" s="21" t="str">
        <f t="shared" si="454"/>
        <v/>
      </c>
      <c r="X405" s="21" t="str">
        <f t="shared" si="455"/>
        <v/>
      </c>
      <c r="Z405" s="70" t="str">
        <f>IF(SUMIFS(TrackingTime!H:H,TrackingTime!F:F,Timer!B405,TrackingTime!C:C,"Hovedkontoret")&gt;0,SUMIFS(TrackingTime!H:H,TrackingTime!F:F,Timer!B405,TrackingTime!C:C,"Hovedkontoret"),"")</f>
        <v/>
      </c>
      <c r="AA405" s="71" t="str">
        <f t="shared" si="456"/>
        <v/>
      </c>
      <c r="AB405" t="str">
        <f>IF(SUMIFS(TrackingTime!H:H,TrackingTime!F:F,Timer!B405,TrackingTime!C:C,Start!$F$3)&gt;0,SUMIFS(TrackingTime!H:H,TrackingTime!F:F,Timer!B405,TrackingTime!C:C,Start!$F$3),"")</f>
        <v/>
      </c>
      <c r="AC405" s="71" t="str">
        <f t="shared" si="458"/>
        <v/>
      </c>
    </row>
    <row r="406" spans="1:29" x14ac:dyDescent="0.25">
      <c r="A406" s="15"/>
      <c r="B406" s="4" t="s">
        <v>11</v>
      </c>
      <c r="C406" s="24"/>
      <c r="D406" s="24"/>
      <c r="E406" s="24">
        <f t="shared" ca="1" si="403"/>
        <v>0</v>
      </c>
      <c r="F406" s="24" t="str">
        <f>IFERROR(IF(YEAR(B406)=Start!$B$1,MONTH(B406),""),"")</f>
        <v/>
      </c>
      <c r="G406" s="64" t="str">
        <f>IFERROR(VLOOKUP(B406,Start!A$111:B$273,2,FALSE),"")</f>
        <v/>
      </c>
      <c r="H406" s="4"/>
      <c r="I406" s="4"/>
      <c r="J406" s="4"/>
      <c r="K406" s="4"/>
      <c r="L406" s="5">
        <f t="shared" si="430"/>
        <v>0</v>
      </c>
      <c r="N406" s="24"/>
      <c r="O406" s="39">
        <f t="shared" ref="O406" si="461">SUM(O399:O405)</f>
        <v>0</v>
      </c>
      <c r="P406" s="40"/>
      <c r="Q406" s="41"/>
      <c r="R406" s="4"/>
      <c r="S406" s="4"/>
      <c r="T406" s="4"/>
      <c r="U406" s="5">
        <f t="shared" ref="U406" si="462">SUM($U399:$U405)</f>
        <v>0</v>
      </c>
      <c r="V406" s="58"/>
      <c r="W406" s="39"/>
      <c r="X406" s="39">
        <f t="shared" ref="X406:X454" si="463">SUM(X399:X405)</f>
        <v>0</v>
      </c>
      <c r="Z406" s="70" t="str">
        <f>IF(SUMIFS(TrackingTime!H:H,TrackingTime!F:F,Timer!B406,TrackingTime!C:C,"Hovedkontoret")&gt;0,SUMIFS(TrackingTime!H:H,TrackingTime!F:F,Timer!B406,TrackingTime!C:C,"Hovedkontoret"),"")</f>
        <v/>
      </c>
      <c r="AA406" s="71" t="str">
        <f t="shared" si="456"/>
        <v/>
      </c>
      <c r="AB406" t="str">
        <f>IF(SUMIFS(TrackingTime!H:H,TrackingTime!F:F,Timer!B406,TrackingTime!C:C,Start!$F$3)&gt;0,SUMIFS(TrackingTime!H:H,TrackingTime!F:F,Timer!B406,TrackingTime!C:C,Start!$F$3),"")</f>
        <v/>
      </c>
      <c r="AC406" s="71" t="str">
        <f t="shared" si="458"/>
        <v/>
      </c>
    </row>
    <row r="407" spans="1:29" x14ac:dyDescent="0.25">
      <c r="A407" s="15"/>
      <c r="B407" t="s">
        <v>90</v>
      </c>
      <c r="E407">
        <f t="shared" ca="1" si="403"/>
        <v>0</v>
      </c>
      <c r="F407" t="str">
        <f>IFERROR(IF(YEAR(B407)=Start!$B$1,MONTH(B407),""),"")</f>
        <v/>
      </c>
      <c r="G407" s="64" t="str">
        <f>IFERROR(VLOOKUP(B407,Start!A$111:B$273,2,FALSE),"")</f>
        <v/>
      </c>
      <c r="L407" s="1">
        <f t="shared" si="433"/>
        <v>0</v>
      </c>
      <c r="M407" s="1"/>
      <c r="N407" s="1"/>
      <c r="O407" s="21">
        <f t="shared" ref="O407" si="464">L407</f>
        <v>0</v>
      </c>
      <c r="P407" s="40"/>
      <c r="Q407" s="21"/>
      <c r="U407" s="1">
        <f t="shared" ref="U407" si="465">SUMIFS(D399:D405,F399:F405,"&gt;0")</f>
        <v>0</v>
      </c>
      <c r="V407" s="1"/>
      <c r="W407" s="1"/>
      <c r="X407" s="21">
        <f>U407</f>
        <v>0</v>
      </c>
      <c r="Z407" s="70" t="str">
        <f>IF(SUMIFS(TrackingTime!H:H,TrackingTime!F:F,Timer!B407,TrackingTime!C:C,"Hovedkontoret")&gt;0,SUMIFS(TrackingTime!H:H,TrackingTime!F:F,Timer!B407,TrackingTime!C:C,"Hovedkontoret"),"")</f>
        <v/>
      </c>
      <c r="AA407" s="71" t="str">
        <f t="shared" si="456"/>
        <v/>
      </c>
      <c r="AB407" t="str">
        <f>IF(SUMIFS(TrackingTime!H:H,TrackingTime!F:F,Timer!B407,TrackingTime!C:C,Start!$F$3)&gt;0,SUMIFS(TrackingTime!H:H,TrackingTime!F:F,Timer!B407,TrackingTime!C:C,Start!$F$3),"")</f>
        <v/>
      </c>
      <c r="AC407" s="71" t="str">
        <f t="shared" si="458"/>
        <v/>
      </c>
    </row>
    <row r="408" spans="1:29" x14ac:dyDescent="0.25">
      <c r="A408" s="16">
        <f>B405-B399-1</f>
        <v>5</v>
      </c>
      <c r="B408" t="s">
        <v>117</v>
      </c>
      <c r="E408">
        <f t="shared" ca="1" si="403"/>
        <v>0</v>
      </c>
      <c r="F408" t="str">
        <f>IFERROR(IF(YEAR(B408)=Start!$B$1,MONTH(B408),""),"")</f>
        <v/>
      </c>
      <c r="G408" s="64" t="str">
        <f>IFERROR(VLOOKUP(B408,Start!A$111:B$273,2,FALSE),"")</f>
        <v/>
      </c>
      <c r="L408" s="77">
        <f t="shared" ca="1" si="436"/>
        <v>0</v>
      </c>
      <c r="O408" s="21">
        <f t="shared" ref="O408" si="466">O406-O407</f>
        <v>0</v>
      </c>
      <c r="P408" s="21"/>
      <c r="Q408" s="21"/>
      <c r="U408" s="1">
        <f t="shared" ref="U408" ca="1" si="467">U406-U407*(IF(NETWORKDAYS($B399,TODAY())&lt;0,0,IF(NETWORKDAYS($B399,TODAY())&lt;=$A408,NETWORKDAYS($B399,TODAY()),$A408)))/$A408</f>
        <v>0</v>
      </c>
      <c r="V408" s="58"/>
      <c r="W408" s="21"/>
      <c r="X408" s="21">
        <f>X406-X407</f>
        <v>0</v>
      </c>
      <c r="Z408" s="70" t="str">
        <f>IF(SUMIFS(TrackingTime!H:H,TrackingTime!F:F,Timer!B408,TrackingTime!C:C,"Hovedkontoret")&gt;0,SUMIFS(TrackingTime!H:H,TrackingTime!F:F,Timer!B408,TrackingTime!C:C,"Hovedkontoret"),"")</f>
        <v/>
      </c>
      <c r="AA408" s="71" t="str">
        <f t="shared" si="456"/>
        <v/>
      </c>
      <c r="AB408" t="str">
        <f>IF(SUMIFS(TrackingTime!H:H,TrackingTime!F:F,Timer!B408,TrackingTime!C:C,Start!$F$3)&gt;0,SUMIFS(TrackingTime!H:H,TrackingTime!F:F,Timer!B408,TrackingTime!C:C,Start!$F$3),"")</f>
        <v/>
      </c>
      <c r="AC408" s="71" t="str">
        <f t="shared" si="458"/>
        <v/>
      </c>
    </row>
    <row r="409" spans="1:29" x14ac:dyDescent="0.25">
      <c r="A409" s="15"/>
      <c r="E409">
        <f t="shared" ca="1" si="403"/>
        <v>1</v>
      </c>
      <c r="F409" t="str">
        <f>IFERROR(IF(YEAR(B409)=Start!$B$1,MONTH(B409),""),"")</f>
        <v/>
      </c>
      <c r="G409" s="64" t="str">
        <f>IFERROR(VLOOKUP(B409,Start!A$111:B$273,2,FALSE),"")</f>
        <v/>
      </c>
      <c r="O409" s="2"/>
      <c r="P409" s="2"/>
      <c r="U409" s="1"/>
      <c r="V409" s="7"/>
      <c r="X409" s="2"/>
      <c r="Z409" s="70" t="str">
        <f>IF(SUMIFS(TrackingTime!H:H,TrackingTime!F:F,Timer!B409,TrackingTime!C:C,"Hovedkontoret")&gt;0,SUMIFS(TrackingTime!H:H,TrackingTime!F:F,Timer!B409,TrackingTime!C:C,"Hovedkontoret"),"")</f>
        <v/>
      </c>
      <c r="AA409" s="71" t="str">
        <f t="shared" si="456"/>
        <v/>
      </c>
      <c r="AB409" t="str">
        <f>IF(SUMIFS(TrackingTime!H:H,TrackingTime!F:F,Timer!B409,TrackingTime!C:C,Start!$F$3)&gt;0,SUMIFS(TrackingTime!H:H,TrackingTime!F:F,Timer!B409,TrackingTime!C:C,Start!$F$3),"")</f>
        <v/>
      </c>
      <c r="AC409" s="71" t="str">
        <f t="shared" si="458"/>
        <v/>
      </c>
    </row>
    <row r="410" spans="1:29" x14ac:dyDescent="0.25">
      <c r="A410" s="2" t="s">
        <v>82</v>
      </c>
      <c r="B410" s="14" t="s">
        <v>83</v>
      </c>
      <c r="E410">
        <f t="shared" ca="1" si="403"/>
        <v>0</v>
      </c>
      <c r="F410" t="str">
        <f>IFERROR(IF(YEAR(B410)=Start!$B$1,MONTH(B410),""),"")</f>
        <v/>
      </c>
      <c r="G410" s="64" t="str">
        <f>IFERROR(VLOOKUP(B410,Start!A$111:B$273,2,FALSE),"")</f>
        <v/>
      </c>
      <c r="H410" s="2" t="s">
        <v>86</v>
      </c>
      <c r="I410" s="2" t="s">
        <v>125</v>
      </c>
      <c r="J410" s="2" t="s">
        <v>126</v>
      </c>
      <c r="K410" s="2" t="s">
        <v>127</v>
      </c>
      <c r="L410" s="3" t="s">
        <v>87</v>
      </c>
      <c r="M410" s="6"/>
      <c r="N410" s="2" t="s">
        <v>88</v>
      </c>
      <c r="O410" s="2" t="s">
        <v>89</v>
      </c>
      <c r="P410" s="2"/>
      <c r="Q410" s="2" t="s">
        <v>86</v>
      </c>
      <c r="R410" s="2" t="s">
        <v>125</v>
      </c>
      <c r="S410" s="2" t="s">
        <v>126</v>
      </c>
      <c r="T410" s="2" t="s">
        <v>127</v>
      </c>
      <c r="U410" s="3" t="s">
        <v>87</v>
      </c>
      <c r="V410" s="6"/>
      <c r="W410" s="2" t="s">
        <v>88</v>
      </c>
      <c r="X410" s="2" t="s">
        <v>89</v>
      </c>
      <c r="Z410" s="70" t="str">
        <f>IF(SUMIFS(TrackingTime!H:H,TrackingTime!F:F,Timer!B410,TrackingTime!C:C,"Hovedkontoret")&gt;0,SUMIFS(TrackingTime!H:H,TrackingTime!F:F,Timer!B410,TrackingTime!C:C,"Hovedkontoret"),"")</f>
        <v/>
      </c>
      <c r="AA410" s="71" t="str">
        <f t="shared" si="456"/>
        <v/>
      </c>
      <c r="AB410" t="str">
        <f>IF(SUMIFS(TrackingTime!H:H,TrackingTime!F:F,Timer!B410,TrackingTime!C:C,Start!$F$3)&gt;0,SUMIFS(TrackingTime!H:H,TrackingTime!F:F,Timer!B410,TrackingTime!C:C,Start!$F$3),"")</f>
        <v/>
      </c>
      <c r="AC410" s="71" t="str">
        <f t="shared" si="458"/>
        <v/>
      </c>
    </row>
    <row r="411" spans="1:29" x14ac:dyDescent="0.25">
      <c r="A411" s="15">
        <f>WEEKNUM(B411,21)</f>
        <v>34</v>
      </c>
      <c r="B411" s="63">
        <f>B405+(DAY(1))</f>
        <v>46251</v>
      </c>
      <c r="C411" t="str">
        <f>IFERROR(IF(OR(L411="Fri",L411="Ferie",L411="Syk",L411="Omsorg",B411&lt;Start!$B$7),0,IF(IFERROR(MATCH(B411,Start!A$253:A$273,0),0)&gt;0,VLOOKUP(B411,Start!A$253:F$273,3,FALSE)/100*Start!$B$4,VLOOKUP(WEEKDAY(B411,2),Start!A$240:F$246,4,FALSE))),"")</f>
        <v/>
      </c>
      <c r="D411" t="str">
        <f>IFERROR(IF(OR(U411="Fri",U411="Ferie",U411="Syk",U411="Omsorg",B411&lt;Start!$F$7),0,IF(IFERROR(MATCH(B411,Start!A$253:A$273,0),0)&gt;0,VLOOKUP(B411,Start!A$253:F$273,3,FALSE)/100*Start!$F$4,VLOOKUP(WEEKDAY(B411,2),Start!A$240:F$246,6,FALSE))),"")</f>
        <v/>
      </c>
      <c r="E411">
        <f t="shared" ca="1" si="403"/>
        <v>0</v>
      </c>
      <c r="F411">
        <f>IFERROR(IF(YEAR(B411)=Start!$B$1,MONTH(B411),""),"")</f>
        <v>8</v>
      </c>
      <c r="G411" s="64" t="str">
        <f>IFERROR(VLOOKUP(B411,Start!A$111:B$273,2,FALSE),"")</f>
        <v/>
      </c>
      <c r="H411" s="21"/>
      <c r="I411" s="78">
        <v>0.33333333333333331</v>
      </c>
      <c r="J411" s="78">
        <v>0.33333333333333331</v>
      </c>
      <c r="K411" s="1" t="str">
        <f>IF(Start!$B$6="Ja","",IF(((J411-I411)*24)&gt;=5.5,"X",""))</f>
        <v/>
      </c>
      <c r="L411" s="1" t="str">
        <f>IF(_xlfn.IFNA(MATCH($A411,Start!$H$3:$H$11,0),0)&gt;0,"Ferie",IFERROR(IF(VLOOKUP(B411,Start!A$165:B$234,2,FALSE)&gt;0,"Fri",0),IF(AND((J411-I411)=0,Z411=""),"",MAX((IF(K411="X",(J411-I411)*24-0.5,(J411-I411)*24)),Z411))))</f>
        <v/>
      </c>
      <c r="M411" s="58"/>
      <c r="N411" s="21" t="str">
        <f t="shared" ref="N411:N417" si="468">IF(H411=0,"",H411)</f>
        <v/>
      </c>
      <c r="O411" s="21" t="str">
        <f t="shared" ref="O411:O417" si="469">IF(L411=0,"",L411)</f>
        <v/>
      </c>
      <c r="P411" s="2"/>
      <c r="Q411" s="21"/>
      <c r="R411" s="78">
        <v>0.33333333333333331</v>
      </c>
      <c r="S411" s="78">
        <v>0.33333333333333331</v>
      </c>
      <c r="T411" s="1" t="str">
        <f>IF(Start!$B$6="Ja","",IF(((S411-R411)*24)&gt;=5.5,"X",""))</f>
        <v/>
      </c>
      <c r="U411" s="1" t="str">
        <f>IF(_xlfn.IFNA(MATCH($A$15,Start!$H$3:$H$11,0),0)&gt;0,"Ferie",(IF(L411="fri","Fri",(IF(L411="syk","Syk",IF(L411="Ferie","Ferie",IF(AND((S411-R411)=0,AB411=""),"",MAX((IF(T411="X",(S411-R411)*24-0.5,(S411-R411)*24)),AB411))))))))</f>
        <v/>
      </c>
      <c r="V411" s="58"/>
      <c r="W411" s="21" t="str">
        <f t="shared" ref="W411:W417" si="470">IF(Q411=0,"",Q411)</f>
        <v/>
      </c>
      <c r="X411" s="21" t="str">
        <f t="shared" ref="X411:X417" si="471">IF(U411=0,"",U411)</f>
        <v/>
      </c>
      <c r="Z411" s="70" t="str">
        <f>IF(SUMIFS(TrackingTime!H:H,TrackingTime!F:F,Timer!B411,TrackingTime!C:C,"Hovedkontoret")&gt;0,SUMIFS(TrackingTime!H:H,TrackingTime!F:F,Timer!B411,TrackingTime!C:C,"Hovedkontoret"),"")</f>
        <v/>
      </c>
      <c r="AA411" s="71" t="str">
        <f t="shared" si="456"/>
        <v/>
      </c>
      <c r="AB411" t="str">
        <f>IF(SUMIFS(TrackingTime!H:H,TrackingTime!F:F,Timer!B411,TrackingTime!C:C,Start!$F$3)&gt;0,SUMIFS(TrackingTime!H:H,TrackingTime!F:F,Timer!B411,TrackingTime!C:C,Start!$F$3),"")</f>
        <v/>
      </c>
      <c r="AC411" s="71" t="str">
        <f t="shared" si="458"/>
        <v/>
      </c>
    </row>
    <row r="412" spans="1:29" x14ac:dyDescent="0.25">
      <c r="A412" s="15"/>
      <c r="B412" s="63">
        <f t="shared" ref="B412:B417" si="472">B411+DAY(1)</f>
        <v>46252</v>
      </c>
      <c r="C412" t="str">
        <f>IFERROR(IF(OR(L412="Fri",L412="Ferie",L412="Syk",L412="Omsorg",B412&lt;Start!$B$7),0,IF(IFERROR(MATCH(B412,Start!A$253:A$273,0),0)&gt;0,VLOOKUP(B412,Start!A$253:F$273,3,FALSE)/100*Start!$B$4,VLOOKUP(WEEKDAY(B412,2),Start!A$240:F$246,4,FALSE))),"")</f>
        <v/>
      </c>
      <c r="D412" t="str">
        <f>IFERROR(IF(OR(U412="Fri",U412="Ferie",U412="Syk",U412="Omsorg",B412&lt;Start!$F$7),0,IF(IFERROR(MATCH(B412,Start!A$253:A$273,0),0)&gt;0,VLOOKUP(B412,Start!A$253:F$273,3,FALSE)/100*Start!$F$4,VLOOKUP(WEEKDAY(B412,2),Start!A$240:F$246,6,FALSE))),"")</f>
        <v/>
      </c>
      <c r="E412">
        <f t="shared" ca="1" si="403"/>
        <v>0</v>
      </c>
      <c r="F412">
        <f>IFERROR(IF(YEAR(B412)=Start!$B$1,MONTH(B412),""),"")</f>
        <v>8</v>
      </c>
      <c r="G412" s="64" t="str">
        <f>IFERROR(VLOOKUP(B412,Start!A$111:B$273,2,FALSE),"")</f>
        <v/>
      </c>
      <c r="H412" s="21"/>
      <c r="I412" s="78">
        <v>0.33333333333333331</v>
      </c>
      <c r="J412" s="78">
        <v>0.33333333333333331</v>
      </c>
      <c r="K412" s="1" t="str">
        <f>IF(Start!$B$6="Ja","",IF(((J412-I412)*24)&gt;=5.5,"X",""))</f>
        <v/>
      </c>
      <c r="L412" s="1" t="str">
        <f>IF(_xlfn.IFNA(MATCH($A411,Start!$H$3:$H$11,0),0)&gt;0,"Ferie",IFERROR(IF(VLOOKUP($B412,Start!$A$165:$B$234,2,FALSE)&gt;0,"Fri",0),IF(AND((J412-I412)=0,Z412=""),"",MAX((IF(K412="X",(J412-I412)*24-0.5,(J412-I412)*24)),Z412))))</f>
        <v/>
      </c>
      <c r="M412" s="58"/>
      <c r="N412" s="21" t="str">
        <f t="shared" si="468"/>
        <v/>
      </c>
      <c r="O412" s="21" t="str">
        <f t="shared" si="469"/>
        <v/>
      </c>
      <c r="P412" s="2"/>
      <c r="Q412" s="21"/>
      <c r="R412" s="78">
        <v>0.33333333333333331</v>
      </c>
      <c r="S412" s="78">
        <v>0.33333333333333331</v>
      </c>
      <c r="T412" s="1" t="str">
        <f>IF(Start!$B$6="Ja","",IF(((S412-R412)*24)&gt;=5.5,"X",""))</f>
        <v/>
      </c>
      <c r="U412" s="1" t="str">
        <f>IF(_xlfn.IFNA(MATCH($A$15,Start!$H$3:$H$11,0),0)&gt;0,"Ferie",(IF(L412="fri","Fri",(IF(L412="syk","Syk",IF(L412="Ferie","Ferie",IF(AND((S412-R412)=0,AB412=""),"",MAX((IF(T412="X",(S412-R412)*24-0.5,(S412-R412)*24)),AB412))))))))</f>
        <v/>
      </c>
      <c r="V412" s="58"/>
      <c r="W412" s="21" t="str">
        <f t="shared" si="470"/>
        <v/>
      </c>
      <c r="X412" s="21" t="str">
        <f t="shared" si="471"/>
        <v/>
      </c>
      <c r="Z412" s="70" t="str">
        <f>IF(SUMIFS(TrackingTime!H:H,TrackingTime!F:F,Timer!B412,TrackingTime!C:C,"Hovedkontoret")&gt;0,SUMIFS(TrackingTime!H:H,TrackingTime!F:F,Timer!B412,TrackingTime!C:C,"Hovedkontoret"),"")</f>
        <v/>
      </c>
      <c r="AA412" s="71" t="str">
        <f t="shared" si="456"/>
        <v/>
      </c>
      <c r="AB412" t="str">
        <f>IF(SUMIFS(TrackingTime!H:H,TrackingTime!F:F,Timer!B412,TrackingTime!C:C,Start!$F$3)&gt;0,SUMIFS(TrackingTime!H:H,TrackingTime!F:F,Timer!B412,TrackingTime!C:C,Start!$F$3),"")</f>
        <v/>
      </c>
      <c r="AC412" s="71" t="str">
        <f t="shared" si="458"/>
        <v/>
      </c>
    </row>
    <row r="413" spans="1:29" x14ac:dyDescent="0.25">
      <c r="A413" s="15"/>
      <c r="B413" s="63">
        <f t="shared" si="472"/>
        <v>46253</v>
      </c>
      <c r="C413" t="str">
        <f>IFERROR(IF(OR(L413="Fri",L413="Ferie",L413="Syk",L413="Omsorg",B413&lt;Start!$B$7),0,IF(IFERROR(MATCH(B413,Start!A$253:A$273,0),0)&gt;0,VLOOKUP(B413,Start!A$253:F$273,3,FALSE)/100*Start!$B$4,VLOOKUP(WEEKDAY(B413,2),Start!A$240:F$246,4,FALSE))),"")</f>
        <v/>
      </c>
      <c r="D413" t="str">
        <f>IFERROR(IF(OR(U413="Fri",U413="Ferie",U413="Syk",U413="Omsorg",B413&lt;Start!$F$7),0,IF(IFERROR(MATCH(B413,Start!A$253:A$273,0),0)&gt;0,VLOOKUP(B413,Start!A$253:F$273,3,FALSE)/100*Start!$F$4,VLOOKUP(WEEKDAY(B413,2),Start!A$240:F$246,6,FALSE))),"")</f>
        <v/>
      </c>
      <c r="E413">
        <f t="shared" ca="1" si="403"/>
        <v>0</v>
      </c>
      <c r="F413">
        <f>IFERROR(IF(YEAR(B413)=Start!$B$1,MONTH(B413),""),"")</f>
        <v>8</v>
      </c>
      <c r="G413" s="64" t="str">
        <f>IFERROR(VLOOKUP(B413,Start!A$111:B$273,2,FALSE),"")</f>
        <v/>
      </c>
      <c r="H413" s="21"/>
      <c r="I413" s="78">
        <v>0.33333333333333331</v>
      </c>
      <c r="J413" s="78">
        <v>0.33333333333333331</v>
      </c>
      <c r="K413" s="1" t="str">
        <f>IF(Start!$B$6="Ja","",IF(((J413-I413)*24)&gt;=5.5,"X",""))</f>
        <v/>
      </c>
      <c r="L413" s="1" t="str">
        <f>IF(_xlfn.IFNA(MATCH($A411,Start!$H$3:$H$11,0),0)&gt;0,"Ferie",IFERROR(IF(VLOOKUP(B413,Start!A$165:B$234,2,FALSE)&gt;0,"Fri",0),IF(AND((J413-I413)=0,Z413=""),"",MAX((IF(K413="X",(J413-I413)*24-0.5,(J413-I413)*24)),Z413))))</f>
        <v/>
      </c>
      <c r="M413" s="58"/>
      <c r="N413" s="21" t="str">
        <f t="shared" si="468"/>
        <v/>
      </c>
      <c r="O413" s="21" t="str">
        <f t="shared" si="469"/>
        <v/>
      </c>
      <c r="P413" s="2"/>
      <c r="Q413" s="21"/>
      <c r="R413" s="78">
        <v>0.33333333333333331</v>
      </c>
      <c r="S413" s="78">
        <v>0.33333333333333331</v>
      </c>
      <c r="T413" s="1" t="str">
        <f>IF(Start!$B$6="Ja","",IF(((S413-R413)*24)&gt;=5.5,"X",""))</f>
        <v/>
      </c>
      <c r="U413" s="1" t="str">
        <f>IF(_xlfn.IFNA(MATCH($A$15,Start!$H$3:$H$11,0),0)&gt;0,"Ferie",(IF(L413="fri","Fri",(IF(L413="syk","Syk",IF(L413="Ferie","Ferie",IF(AND((S413-R413)=0,AB413=""),"",MAX((IF(T413="X",(S413-R413)*24-0.5,(S413-R413)*24)),AB413))))))))</f>
        <v/>
      </c>
      <c r="V413" s="58"/>
      <c r="W413" s="21" t="str">
        <f t="shared" si="470"/>
        <v/>
      </c>
      <c r="X413" s="21" t="str">
        <f t="shared" si="471"/>
        <v/>
      </c>
      <c r="Z413" s="70" t="str">
        <f>IF(SUMIFS(TrackingTime!H:H,TrackingTime!F:F,Timer!B413,TrackingTime!C:C,"Hovedkontoret")&gt;0,SUMIFS(TrackingTime!H:H,TrackingTime!F:F,Timer!B413,TrackingTime!C:C,"Hovedkontoret"),"")</f>
        <v/>
      </c>
      <c r="AA413" s="71" t="str">
        <f t="shared" si="456"/>
        <v/>
      </c>
      <c r="AB413" t="str">
        <f>IF(SUMIFS(TrackingTime!H:H,TrackingTime!F:F,Timer!B413,TrackingTime!C:C,Start!$F$3)&gt;0,SUMIFS(TrackingTime!H:H,TrackingTime!F:F,Timer!B413,TrackingTime!C:C,Start!$F$3),"")</f>
        <v/>
      </c>
      <c r="AC413" s="71" t="str">
        <f t="shared" si="458"/>
        <v/>
      </c>
    </row>
    <row r="414" spans="1:29" x14ac:dyDescent="0.25">
      <c r="A414" s="15"/>
      <c r="B414" s="63">
        <f t="shared" si="472"/>
        <v>46254</v>
      </c>
      <c r="C414" t="str">
        <f>IFERROR(IF(OR(L414="Fri",L414="Ferie",L414="Syk",L414="Omsorg",B414&lt;Start!$B$7),0,IF(IFERROR(MATCH(B414,Start!A$253:A$273,0),0)&gt;0,VLOOKUP(B414,Start!A$253:F$273,3,FALSE)/100*Start!$B$4,VLOOKUP(WEEKDAY(B414,2),Start!A$240:F$246,4,FALSE))),"")</f>
        <v/>
      </c>
      <c r="D414" t="str">
        <f>IFERROR(IF(OR(U414="Fri",U414="Ferie",U414="Syk",U414="Omsorg",B414&lt;Start!$F$7),0,IF(IFERROR(MATCH(B414,Start!A$253:A$273,0),0)&gt;0,VLOOKUP(B414,Start!A$253:F$273,3,FALSE)/100*Start!$F$4,VLOOKUP(WEEKDAY(B414,2),Start!A$240:F$246,6,FALSE))),"")</f>
        <v/>
      </c>
      <c r="E414">
        <f t="shared" ca="1" si="403"/>
        <v>0</v>
      </c>
      <c r="F414">
        <f>IFERROR(IF(YEAR(B414)=Start!$B$1,MONTH(B414),""),"")</f>
        <v>8</v>
      </c>
      <c r="G414" s="64" t="str">
        <f>IFERROR(VLOOKUP(B414,Start!A$111:B$273,2,FALSE),"")</f>
        <v/>
      </c>
      <c r="H414" s="21"/>
      <c r="I414" s="78">
        <v>0.33333333333333331</v>
      </c>
      <c r="J414" s="78">
        <v>0.33333333333333331</v>
      </c>
      <c r="K414" s="1" t="str">
        <f>IF(Start!$B$6="Ja","",IF(((J414-I414)*24)&gt;=5.5,"X",""))</f>
        <v/>
      </c>
      <c r="L414" s="1" t="str">
        <f>IF(_xlfn.IFNA(MATCH($A411,Start!$H$3:$H$11,0),0)&gt;0,"Ferie",IFERROR(IF(VLOOKUP(B414,Start!A$165:B$234,2,FALSE)&gt;0,"Fri",0),IF(AND((J414-I414)=0,Z414=""),"",MAX((IF(K414="X",(J414-I414)*24-0.5,(J414-I414)*24)),Z414))))</f>
        <v/>
      </c>
      <c r="M414" s="58"/>
      <c r="N414" s="21" t="str">
        <f t="shared" si="468"/>
        <v/>
      </c>
      <c r="O414" s="21" t="str">
        <f t="shared" si="469"/>
        <v/>
      </c>
      <c r="P414" s="2"/>
      <c r="Q414" s="21"/>
      <c r="R414" s="78">
        <v>0.33333333333333331</v>
      </c>
      <c r="S414" s="78">
        <v>0.33333333333333331</v>
      </c>
      <c r="T414" s="1" t="str">
        <f>IF(Start!$B$6="Ja","",IF(((S414-R414)*24)&gt;=5.5,"X",""))</f>
        <v/>
      </c>
      <c r="U414" s="1" t="str">
        <f>IF(_xlfn.IFNA(MATCH($A$15,Start!$H$3:$H$11,0),0)&gt;0,"Ferie",(IF(L414="fri","Fri",(IF(L414="syk","Syk",IF(L414="Ferie","Ferie",IF(AND((S414-R414)=0,AB414=""),"",MAX((IF(T414="X",(S414-R414)*24-0.5,(S414-R414)*24)),AB414))))))))</f>
        <v/>
      </c>
      <c r="V414" s="58"/>
      <c r="W414" s="21" t="str">
        <f t="shared" si="470"/>
        <v/>
      </c>
      <c r="X414" s="21" t="str">
        <f t="shared" si="471"/>
        <v/>
      </c>
      <c r="Z414" s="70" t="str">
        <f>IF(SUMIFS(TrackingTime!H:H,TrackingTime!F:F,Timer!B414,TrackingTime!C:C,"Hovedkontoret")&gt;0,SUMIFS(TrackingTime!H:H,TrackingTime!F:F,Timer!B414,TrackingTime!C:C,"Hovedkontoret"),"")</f>
        <v/>
      </c>
      <c r="AA414" s="71" t="str">
        <f t="shared" si="456"/>
        <v/>
      </c>
      <c r="AB414" t="str">
        <f>IF(SUMIFS(TrackingTime!H:H,TrackingTime!F:F,Timer!B414,TrackingTime!C:C,Start!$F$3)&gt;0,SUMIFS(TrackingTime!H:H,TrackingTime!F:F,Timer!B414,TrackingTime!C:C,Start!$F$3),"")</f>
        <v/>
      </c>
      <c r="AC414" s="71" t="str">
        <f t="shared" si="458"/>
        <v/>
      </c>
    </row>
    <row r="415" spans="1:29" x14ac:dyDescent="0.25">
      <c r="A415" s="15"/>
      <c r="B415" s="63">
        <f t="shared" si="472"/>
        <v>46255</v>
      </c>
      <c r="C415" t="str">
        <f>IFERROR(IF(OR(L415="Fri",L415="Ferie",L415="Syk",L415="Omsorg",B415&lt;Start!$B$7),0,IF(IFERROR(MATCH(B415,Start!A$253:A$273,0),0)&gt;0,VLOOKUP(B415,Start!A$253:F$273,3,FALSE)/100*Start!$B$4,VLOOKUP(WEEKDAY(B415,2),Start!A$240:F$246,4,FALSE))),"")</f>
        <v/>
      </c>
      <c r="D415" t="str">
        <f>IFERROR(IF(OR(U415="Fri",U415="Ferie",U415="Syk",U415="Omsorg",B415&lt;Start!$F$7),0,IF(IFERROR(MATCH(B415,Start!A$253:A$273,0),0)&gt;0,VLOOKUP(B415,Start!A$253:F$273,3,FALSE)/100*Start!$F$4,VLOOKUP(WEEKDAY(B415,2),Start!A$240:F$246,6,FALSE))),"")</f>
        <v/>
      </c>
      <c r="E415">
        <f t="shared" ca="1" si="403"/>
        <v>0</v>
      </c>
      <c r="F415">
        <f>IFERROR(IF(YEAR(B415)=Start!$B$1,MONTH(B415),""),"")</f>
        <v>8</v>
      </c>
      <c r="G415" s="64" t="str">
        <f>IFERROR(VLOOKUP(B415,Start!A$111:B$273,2,FALSE),"")</f>
        <v/>
      </c>
      <c r="H415" s="21"/>
      <c r="I415" s="78">
        <v>0.33333333333333331</v>
      </c>
      <c r="J415" s="78">
        <v>0.33333333333333331</v>
      </c>
      <c r="K415" s="1" t="str">
        <f>IF(Start!$B$6="Ja","",IF(((J415-I415)*24)&gt;=5.5,"X",""))</f>
        <v/>
      </c>
      <c r="L415" s="1" t="str">
        <f>IF(_xlfn.IFNA(MATCH($A411,Start!$H$3:$H$11,0),0)&gt;0,"Ferie",IFERROR(IF(VLOOKUP(B415,Start!A$165:B$234,2,FALSE)&gt;0,"Fri",0),IF(AND((J415-I415)=0,Z415=""),"",MAX((IF(K415="X",(J415-I415)*24-0.5,(J415-I415)*24)),Z415))))</f>
        <v/>
      </c>
      <c r="M415" s="58"/>
      <c r="N415" s="21" t="str">
        <f t="shared" si="468"/>
        <v/>
      </c>
      <c r="O415" s="21" t="str">
        <f t="shared" si="469"/>
        <v/>
      </c>
      <c r="P415" s="2"/>
      <c r="Q415" s="21"/>
      <c r="R415" s="78">
        <v>0.33333333333333331</v>
      </c>
      <c r="S415" s="78">
        <v>0.33333333333333331</v>
      </c>
      <c r="T415" s="1" t="str">
        <f>IF(Start!$B$6="Ja","",IF(((S415-R415)*24)&gt;=5.5,"X",""))</f>
        <v/>
      </c>
      <c r="U415" s="1" t="str">
        <f>IF(_xlfn.IFNA(MATCH($A$15,Start!$H$3:$H$11,0),0)&gt;0,"Ferie",(IF(L415="fri","Fri",(IF(L415="syk","Syk",IF(L415="Ferie","Ferie",IF(AND((S415-R415)=0,AB415=""),"",MAX((IF(T415="X",(S415-R415)*24-0.5,(S415-R415)*24)),AB415))))))))</f>
        <v/>
      </c>
      <c r="V415" s="58"/>
      <c r="W415" s="21" t="str">
        <f t="shared" si="470"/>
        <v/>
      </c>
      <c r="X415" s="21" t="str">
        <f t="shared" si="471"/>
        <v/>
      </c>
      <c r="Z415" s="70" t="str">
        <f>IF(SUMIFS(TrackingTime!H:H,TrackingTime!F:F,Timer!B415,TrackingTime!C:C,"Hovedkontoret")&gt;0,SUMIFS(TrackingTime!H:H,TrackingTime!F:F,Timer!B415,TrackingTime!C:C,"Hovedkontoret"),"")</f>
        <v/>
      </c>
      <c r="AA415" s="71" t="str">
        <f t="shared" si="456"/>
        <v/>
      </c>
      <c r="AB415" t="str">
        <f>IF(SUMIFS(TrackingTime!H:H,TrackingTime!F:F,Timer!B415,TrackingTime!C:C,Start!$F$3)&gt;0,SUMIFS(TrackingTime!H:H,TrackingTime!F:F,Timer!B415,TrackingTime!C:C,Start!$F$3),"")</f>
        <v/>
      </c>
      <c r="AC415" s="71" t="str">
        <f t="shared" si="458"/>
        <v/>
      </c>
    </row>
    <row r="416" spans="1:29" x14ac:dyDescent="0.25">
      <c r="A416" s="15"/>
      <c r="B416" s="63">
        <f t="shared" si="472"/>
        <v>46256</v>
      </c>
      <c r="C416">
        <f>IFERROR(IF(OR(L416="Fri",L416="Ferie",L416="Syk",L416="Omsorg",B416&lt;Start!$B$7),0,IF(IFERROR(MATCH(B416,Start!A$253:A$273,0),0)&gt;0,VLOOKUP(B416,Start!A$253:F$273,3,FALSE)/100*Start!$B$4,VLOOKUP(WEEKDAY(B416,2),Start!A$240:F$246,4,FALSE))),"")</f>
        <v>0</v>
      </c>
      <c r="D416">
        <f>IFERROR(IF(OR(U416="Fri",U416="Ferie",U416="Syk",U416="Omsorg",B416&lt;Start!$F$7),0,IF(IFERROR(MATCH(B416,Start!A$253:A$273,0),0)&gt;0,VLOOKUP(B416,Start!A$253:F$273,3,FALSE)/100*Start!$F$4,VLOOKUP(WEEKDAY(B416,2),Start!A$240:F$246,6,FALSE))),"")</f>
        <v>0</v>
      </c>
      <c r="E416">
        <f t="shared" ca="1" si="403"/>
        <v>0</v>
      </c>
      <c r="F416">
        <f>IFERROR(IF(YEAR(B416)=Start!$B$1,MONTH(B416),""),"")</f>
        <v>8</v>
      </c>
      <c r="G416" s="64" t="str">
        <f>IFERROR(VLOOKUP(B416,Start!A$111:B$273,2,FALSE),"")</f>
        <v/>
      </c>
      <c r="H416" s="21"/>
      <c r="I416" s="78">
        <v>0.41666666666666669</v>
      </c>
      <c r="J416" s="78">
        <v>0.41666666666666669</v>
      </c>
      <c r="K416" s="1" t="str">
        <f>IF(Start!$B$6="Ja","",IF(((J416-I416)*24)&gt;=5.5,"X",""))</f>
        <v/>
      </c>
      <c r="L416" s="1" t="str">
        <f t="shared" ref="L416:L417" si="473">IF(AND((J416-I416)=0,Z416=""),"",MAX((IF(K416="X",(J416-I416)*24-0.5,(J416-I416)*24)),Z416))</f>
        <v/>
      </c>
      <c r="M416" s="58"/>
      <c r="N416" s="21" t="str">
        <f t="shared" si="468"/>
        <v/>
      </c>
      <c r="O416" s="21" t="str">
        <f t="shared" si="469"/>
        <v/>
      </c>
      <c r="P416" s="2"/>
      <c r="Q416" s="21"/>
      <c r="R416" s="78">
        <v>0.41666666666666669</v>
      </c>
      <c r="S416" s="78">
        <v>0.41666666666666669</v>
      </c>
      <c r="T416" s="1" t="str">
        <f>IF(Start!$B$6="Ja","",IF(((S416-R416)*24)&gt;=5.5,"X",""))</f>
        <v/>
      </c>
      <c r="U416" s="1" t="str">
        <f t="shared" ref="U416:U417" si="474">IF(AND((S416-R416)=0,AB416=""),"",MAX((IF(T416="X",(S416-R416)*24-0.5,(S416-R416)*24)),AB416))</f>
        <v/>
      </c>
      <c r="V416" s="58"/>
      <c r="W416" s="21" t="str">
        <f t="shared" si="470"/>
        <v/>
      </c>
      <c r="X416" s="21" t="str">
        <f t="shared" si="471"/>
        <v/>
      </c>
      <c r="Z416" s="70" t="str">
        <f>IF(SUMIFS(TrackingTime!H:H,TrackingTime!F:F,Timer!B416,TrackingTime!C:C,"Hovedkontoret")&gt;0,SUMIFS(TrackingTime!H:H,TrackingTime!F:F,Timer!B416,TrackingTime!C:C,"Hovedkontoret"),"")</f>
        <v/>
      </c>
      <c r="AA416" s="71" t="str">
        <f t="shared" si="456"/>
        <v/>
      </c>
      <c r="AB416" t="str">
        <f>IF(SUMIFS(TrackingTime!H:H,TrackingTime!F:F,Timer!B416,TrackingTime!C:C,Start!$F$3)&gt;0,SUMIFS(TrackingTime!H:H,TrackingTime!F:F,Timer!B416,TrackingTime!C:C,Start!$F$3),"")</f>
        <v/>
      </c>
      <c r="AC416" s="71" t="str">
        <f t="shared" si="458"/>
        <v/>
      </c>
    </row>
    <row r="417" spans="1:29" x14ac:dyDescent="0.25">
      <c r="A417" s="15"/>
      <c r="B417" s="63">
        <f t="shared" si="472"/>
        <v>46257</v>
      </c>
      <c r="C417">
        <f>IFERROR(IF(OR(L417="Fri",L417="Ferie",L417="Syk",L417="Omsorg",B417&lt;Start!$B$7),0,IF(IFERROR(MATCH(B417,Start!A$253:A$273,0),0)&gt;0,VLOOKUP(B417,Start!A$253:F$273,3,FALSE)/100*Start!$B$4,VLOOKUP(WEEKDAY(B417,2),Start!A$240:F$246,4,FALSE))),"")</f>
        <v>0</v>
      </c>
      <c r="D417">
        <f>IFERROR(IF(OR(U417="Fri",U417="Ferie",U417="Syk",U417="Omsorg",B417&lt;Start!$F$7),0,IF(IFERROR(MATCH(B417,Start!A$253:A$273,0),0)&gt;0,VLOOKUP(B417,Start!A$253:F$273,3,FALSE)/100*Start!$F$4,VLOOKUP(WEEKDAY(B417,2),Start!A$240:F$246,6,FALSE))),"")</f>
        <v>0</v>
      </c>
      <c r="E417">
        <f t="shared" ca="1" si="403"/>
        <v>0</v>
      </c>
      <c r="F417">
        <f>IFERROR(IF(YEAR(B417)=Start!$B$1,MONTH(B417),""),"")</f>
        <v>8</v>
      </c>
      <c r="G417" s="64" t="str">
        <f>IFERROR(VLOOKUP(B417,Start!A$111:B$273,2,FALSE),"")</f>
        <v/>
      </c>
      <c r="H417" s="25"/>
      <c r="I417" s="78">
        <v>0.41666666666666669</v>
      </c>
      <c r="J417" s="78">
        <v>0.41666666666666669</v>
      </c>
      <c r="K417" s="1" t="str">
        <f>IF(Start!$B$6="Ja","",IF(((J417-I417)*24)&gt;=5.5,"X",""))</f>
        <v/>
      </c>
      <c r="L417" s="1" t="str">
        <f t="shared" si="473"/>
        <v/>
      </c>
      <c r="M417" s="58"/>
      <c r="N417" s="21" t="str">
        <f t="shared" si="468"/>
        <v/>
      </c>
      <c r="O417" s="21" t="str">
        <f t="shared" si="469"/>
        <v/>
      </c>
      <c r="Q417" s="25"/>
      <c r="R417" s="78">
        <v>0.41666666666666669</v>
      </c>
      <c r="S417" s="78">
        <v>0.41666666666666669</v>
      </c>
      <c r="T417" s="1" t="str">
        <f>IF(Start!$B$6="Ja","",IF(((S417-R417)*24)&gt;=5.5,"X",""))</f>
        <v/>
      </c>
      <c r="U417" s="1" t="str">
        <f t="shared" si="474"/>
        <v/>
      </c>
      <c r="V417" s="58"/>
      <c r="W417" s="21" t="str">
        <f t="shared" si="470"/>
        <v/>
      </c>
      <c r="X417" s="21" t="str">
        <f t="shared" si="471"/>
        <v/>
      </c>
      <c r="Z417" s="70" t="str">
        <f>IF(SUMIFS(TrackingTime!H:H,TrackingTime!F:F,Timer!B417,TrackingTime!C:C,"Hovedkontoret")&gt;0,SUMIFS(TrackingTime!H:H,TrackingTime!F:F,Timer!B417,TrackingTime!C:C,"Hovedkontoret"),"")</f>
        <v/>
      </c>
      <c r="AA417" s="71" t="str">
        <f t="shared" si="456"/>
        <v/>
      </c>
      <c r="AB417" t="str">
        <f>IF(SUMIFS(TrackingTime!H:H,TrackingTime!F:F,Timer!B417,TrackingTime!C:C,Start!$F$3)&gt;0,SUMIFS(TrackingTime!H:H,TrackingTime!F:F,Timer!B417,TrackingTime!C:C,Start!$F$3),"")</f>
        <v/>
      </c>
      <c r="AC417" s="71" t="str">
        <f t="shared" si="458"/>
        <v/>
      </c>
    </row>
    <row r="418" spans="1:29" x14ac:dyDescent="0.25">
      <c r="A418" s="15"/>
      <c r="B418" s="4" t="s">
        <v>11</v>
      </c>
      <c r="C418" s="24"/>
      <c r="D418" s="24"/>
      <c r="E418" s="24">
        <f t="shared" ca="1" si="403"/>
        <v>0</v>
      </c>
      <c r="F418" s="24" t="str">
        <f>IFERROR(IF(YEAR(B418)=Start!$B$1,MONTH(B418),""),"")</f>
        <v/>
      </c>
      <c r="G418" s="64" t="str">
        <f>IFERROR(VLOOKUP(B418,Start!A$111:B$273,2,FALSE),"")</f>
        <v/>
      </c>
      <c r="H418" s="4"/>
      <c r="I418" s="4"/>
      <c r="J418" s="4"/>
      <c r="K418" s="4"/>
      <c r="L418" s="5">
        <f t="shared" si="430"/>
        <v>0</v>
      </c>
      <c r="N418" s="24"/>
      <c r="O418" s="39">
        <f t="shared" ref="O418" si="475">SUM(O411:O417)</f>
        <v>0</v>
      </c>
      <c r="P418" s="40"/>
      <c r="Q418" s="41"/>
      <c r="R418" s="4"/>
      <c r="S418" s="4"/>
      <c r="T418" s="4"/>
      <c r="U418" s="5">
        <f t="shared" ref="U418" si="476">SUM($U411:$U417)</f>
        <v>0</v>
      </c>
      <c r="V418" s="58"/>
      <c r="W418" s="39"/>
      <c r="X418" s="39">
        <f t="shared" si="463"/>
        <v>0</v>
      </c>
      <c r="Z418" s="70" t="str">
        <f>IF(SUMIFS(TrackingTime!H:H,TrackingTime!F:F,Timer!B418,TrackingTime!C:C,"Hovedkontoret")&gt;0,SUMIFS(TrackingTime!H:H,TrackingTime!F:F,Timer!B418,TrackingTime!C:C,"Hovedkontoret"),"")</f>
        <v/>
      </c>
      <c r="AA418" s="71" t="str">
        <f t="shared" si="456"/>
        <v/>
      </c>
      <c r="AB418" t="str">
        <f>IF(SUMIFS(TrackingTime!H:H,TrackingTime!F:F,Timer!B418,TrackingTime!C:C,Start!$F$3)&gt;0,SUMIFS(TrackingTime!H:H,TrackingTime!F:F,Timer!B418,TrackingTime!C:C,Start!$F$3),"")</f>
        <v/>
      </c>
      <c r="AC418" s="71" t="str">
        <f t="shared" si="458"/>
        <v/>
      </c>
    </row>
    <row r="419" spans="1:29" x14ac:dyDescent="0.25">
      <c r="A419" s="15"/>
      <c r="B419" t="s">
        <v>90</v>
      </c>
      <c r="E419">
        <f t="shared" ca="1" si="403"/>
        <v>0</v>
      </c>
      <c r="F419" t="str">
        <f>IFERROR(IF(YEAR(B419)=Start!$B$1,MONTH(B419),""),"")</f>
        <v/>
      </c>
      <c r="G419" s="64" t="str">
        <f>IFERROR(VLOOKUP(B419,Start!A$111:B$273,2,FALSE),"")</f>
        <v/>
      </c>
      <c r="L419" s="1">
        <f t="shared" si="433"/>
        <v>0</v>
      </c>
      <c r="M419" s="1"/>
      <c r="N419" s="1"/>
      <c r="O419" s="21">
        <f t="shared" ref="O419" si="477">L419</f>
        <v>0</v>
      </c>
      <c r="P419" s="40"/>
      <c r="Q419" s="21"/>
      <c r="U419" s="1">
        <f t="shared" ref="U419" si="478">SUMIFS(D411:D417,F411:F417,"&gt;0")</f>
        <v>0</v>
      </c>
      <c r="V419" s="1"/>
      <c r="W419" s="1"/>
      <c r="X419" s="21">
        <f>U419</f>
        <v>0</v>
      </c>
      <c r="Z419" s="70" t="str">
        <f>IF(SUMIFS(TrackingTime!H:H,TrackingTime!F:F,Timer!B419,TrackingTime!C:C,"Hovedkontoret")&gt;0,SUMIFS(TrackingTime!H:H,TrackingTime!F:F,Timer!B419,TrackingTime!C:C,"Hovedkontoret"),"")</f>
        <v/>
      </c>
      <c r="AA419" s="71" t="str">
        <f t="shared" si="456"/>
        <v/>
      </c>
      <c r="AB419" t="str">
        <f>IF(SUMIFS(TrackingTime!H:H,TrackingTime!F:F,Timer!B419,TrackingTime!C:C,Start!$F$3)&gt;0,SUMIFS(TrackingTime!H:H,TrackingTime!F:F,Timer!B419,TrackingTime!C:C,Start!$F$3),"")</f>
        <v/>
      </c>
      <c r="AC419" s="71" t="str">
        <f t="shared" si="458"/>
        <v/>
      </c>
    </row>
    <row r="420" spans="1:29" x14ac:dyDescent="0.25">
      <c r="A420" s="16">
        <f>B417-B411-1</f>
        <v>5</v>
      </c>
      <c r="B420" t="s">
        <v>117</v>
      </c>
      <c r="E420">
        <f t="shared" ca="1" si="403"/>
        <v>0</v>
      </c>
      <c r="F420" t="str">
        <f>IFERROR(IF(YEAR(B420)=Start!$B$1,MONTH(B420),""),"")</f>
        <v/>
      </c>
      <c r="G420" s="64" t="str">
        <f>IFERROR(VLOOKUP(B420,Start!A$111:B$273,2,FALSE),"")</f>
        <v/>
      </c>
      <c r="L420" s="77">
        <f t="shared" ca="1" si="436"/>
        <v>0</v>
      </c>
      <c r="O420" s="21">
        <f t="shared" ref="O420" si="479">O418-O419</f>
        <v>0</v>
      </c>
      <c r="P420" s="21"/>
      <c r="Q420" s="21"/>
      <c r="U420" s="1">
        <f t="shared" ref="U420" ca="1" si="480">U418-U419*(IF(NETWORKDAYS($B411,TODAY())&lt;0,0,IF(NETWORKDAYS($B411,TODAY())&lt;=$A420,NETWORKDAYS($B411,TODAY()),$A420)))/$A420</f>
        <v>0</v>
      </c>
      <c r="V420" s="58"/>
      <c r="W420" s="21"/>
      <c r="X420" s="21">
        <f>X418-X419</f>
        <v>0</v>
      </c>
      <c r="Z420" s="70" t="str">
        <f>IF(SUMIFS(TrackingTime!H:H,TrackingTime!F:F,Timer!B420,TrackingTime!C:C,"Hovedkontoret")&gt;0,SUMIFS(TrackingTime!H:H,TrackingTime!F:F,Timer!B420,TrackingTime!C:C,"Hovedkontoret"),"")</f>
        <v/>
      </c>
      <c r="AA420" s="71" t="str">
        <f t="shared" si="456"/>
        <v/>
      </c>
      <c r="AB420" t="str">
        <f>IF(SUMIFS(TrackingTime!H:H,TrackingTime!F:F,Timer!B420,TrackingTime!C:C,Start!$F$3)&gt;0,SUMIFS(TrackingTime!H:H,TrackingTime!F:F,Timer!B420,TrackingTime!C:C,Start!$F$3),"")</f>
        <v/>
      </c>
      <c r="AC420" s="71" t="str">
        <f t="shared" si="458"/>
        <v/>
      </c>
    </row>
    <row r="421" spans="1:29" x14ac:dyDescent="0.25">
      <c r="A421" s="15"/>
      <c r="E421">
        <f t="shared" ca="1" si="403"/>
        <v>1</v>
      </c>
      <c r="F421" t="str">
        <f>IFERROR(IF(YEAR(B421)=Start!$B$1,MONTH(B421),""),"")</f>
        <v/>
      </c>
      <c r="G421" s="64" t="str">
        <f>IFERROR(VLOOKUP(B421,Start!A$111:B$273,2,FALSE),"")</f>
        <v/>
      </c>
      <c r="O421" s="2"/>
      <c r="P421" s="2"/>
      <c r="U421" s="1"/>
      <c r="V421" s="7"/>
      <c r="X421" s="2"/>
      <c r="Z421" s="70" t="str">
        <f>IF(SUMIFS(TrackingTime!H:H,TrackingTime!F:F,Timer!B421,TrackingTime!C:C,"Hovedkontoret")&gt;0,SUMIFS(TrackingTime!H:H,TrackingTime!F:F,Timer!B421,TrackingTime!C:C,"Hovedkontoret"),"")</f>
        <v/>
      </c>
      <c r="AA421" s="71" t="str">
        <f t="shared" si="456"/>
        <v/>
      </c>
      <c r="AB421" t="str">
        <f>IF(SUMIFS(TrackingTime!H:H,TrackingTime!F:F,Timer!B421,TrackingTime!C:C,Start!$F$3)&gt;0,SUMIFS(TrackingTime!H:H,TrackingTime!F:F,Timer!B421,TrackingTime!C:C,Start!$F$3),"")</f>
        <v/>
      </c>
      <c r="AC421" s="71" t="str">
        <f t="shared" si="458"/>
        <v/>
      </c>
    </row>
    <row r="422" spans="1:29" x14ac:dyDescent="0.25">
      <c r="A422" s="2" t="s">
        <v>82</v>
      </c>
      <c r="B422" s="14" t="s">
        <v>83</v>
      </c>
      <c r="E422">
        <f t="shared" ref="E422:E485" ca="1" si="481">IF(B422&gt;TODAY(),0,1)</f>
        <v>0</v>
      </c>
      <c r="F422" t="str">
        <f>IFERROR(IF(YEAR(B422)=Start!$B$1,MONTH(B422),""),"")</f>
        <v/>
      </c>
      <c r="G422" s="64" t="str">
        <f>IFERROR(VLOOKUP(B422,Start!A$111:B$273,2,FALSE),"")</f>
        <v/>
      </c>
      <c r="H422" s="2" t="s">
        <v>86</v>
      </c>
      <c r="I422" s="2" t="s">
        <v>125</v>
      </c>
      <c r="J422" s="2" t="s">
        <v>126</v>
      </c>
      <c r="K422" s="2" t="s">
        <v>127</v>
      </c>
      <c r="L422" s="3" t="s">
        <v>87</v>
      </c>
      <c r="M422" s="6"/>
      <c r="N422" s="2" t="s">
        <v>88</v>
      </c>
      <c r="O422" s="2" t="s">
        <v>89</v>
      </c>
      <c r="P422" s="2"/>
      <c r="Q422" s="2" t="s">
        <v>86</v>
      </c>
      <c r="R422" s="2" t="s">
        <v>125</v>
      </c>
      <c r="S422" s="2" t="s">
        <v>126</v>
      </c>
      <c r="T422" s="2" t="s">
        <v>127</v>
      </c>
      <c r="U422" s="3" t="s">
        <v>87</v>
      </c>
      <c r="V422" s="6"/>
      <c r="W422" s="2" t="s">
        <v>88</v>
      </c>
      <c r="X422" s="2" t="s">
        <v>89</v>
      </c>
      <c r="Z422" s="70" t="str">
        <f>IF(SUMIFS(TrackingTime!H:H,TrackingTime!F:F,Timer!B422,TrackingTime!C:C,"Hovedkontoret")&gt;0,SUMIFS(TrackingTime!H:H,TrackingTime!F:F,Timer!B422,TrackingTime!C:C,"Hovedkontoret"),"")</f>
        <v/>
      </c>
      <c r="AA422" s="71" t="str">
        <f t="shared" si="456"/>
        <v/>
      </c>
      <c r="AB422" t="str">
        <f>IF(SUMIFS(TrackingTime!H:H,TrackingTime!F:F,Timer!B422,TrackingTime!C:C,Start!$F$3)&gt;0,SUMIFS(TrackingTime!H:H,TrackingTime!F:F,Timer!B422,TrackingTime!C:C,Start!$F$3),"")</f>
        <v/>
      </c>
      <c r="AC422" s="71" t="str">
        <f t="shared" si="458"/>
        <v/>
      </c>
    </row>
    <row r="423" spans="1:29" x14ac:dyDescent="0.25">
      <c r="A423" s="15">
        <f>WEEKNUM(B423,21)</f>
        <v>35</v>
      </c>
      <c r="B423" s="63">
        <f>B417+(DAY(1))</f>
        <v>46258</v>
      </c>
      <c r="C423" t="str">
        <f>IFERROR(IF(OR(L423="Fri",L423="Ferie",L423="Syk",L423="Omsorg",B423&lt;Start!$B$7),0,IF(IFERROR(MATCH(B423,Start!A$253:A$273,0),0)&gt;0,VLOOKUP(B423,Start!A$253:F$273,3,FALSE)/100*Start!$B$4,VLOOKUP(WEEKDAY(B423,2),Start!A$240:F$246,4,FALSE))),"")</f>
        <v/>
      </c>
      <c r="D423" t="str">
        <f>IFERROR(IF(OR(U423="Fri",U423="Ferie",U423="Syk",U423="Omsorg",B423&lt;Start!$F$7),0,IF(IFERROR(MATCH(B423,Start!A$253:A$273,0),0)&gt;0,VLOOKUP(B423,Start!A$253:F$273,3,FALSE)/100*Start!$F$4,VLOOKUP(WEEKDAY(B423,2),Start!A$240:F$246,6,FALSE))),"")</f>
        <v/>
      </c>
      <c r="E423">
        <f t="shared" ca="1" si="481"/>
        <v>0</v>
      </c>
      <c r="F423">
        <f>IFERROR(IF(YEAR(B423)=Start!$B$1,MONTH(B423),""),"")</f>
        <v>8</v>
      </c>
      <c r="G423" s="64" t="str">
        <f>IFERROR(VLOOKUP(B423,Start!A$111:B$273,2,FALSE),"")</f>
        <v/>
      </c>
      <c r="H423" s="21"/>
      <c r="I423" s="78">
        <v>0.33333333333333331</v>
      </c>
      <c r="J423" s="78">
        <v>0.33333333333333331</v>
      </c>
      <c r="K423" s="1" t="str">
        <f>IF(Start!$B$6="Ja","",IF(((J423-I423)*24)&gt;=5.5,"X",""))</f>
        <v/>
      </c>
      <c r="L423" s="1" t="str">
        <f>IF(_xlfn.IFNA(MATCH($A423,Start!$H$3:$H$11,0),0)&gt;0,"Ferie",IFERROR(IF(VLOOKUP(B423,Start!A$165:B$234,2,FALSE)&gt;0,"Fri",0),IF(AND((J423-I423)=0,Z423=""),"",MAX((IF(K423="X",(J423-I423)*24-0.5,(J423-I423)*24)),Z423))))</f>
        <v/>
      </c>
      <c r="M423" s="58"/>
      <c r="N423" s="21" t="str">
        <f t="shared" ref="N423:N429" si="482">IF(H423=0,"",H423)</f>
        <v/>
      </c>
      <c r="O423" s="21" t="str">
        <f t="shared" ref="O423:O429" si="483">IF(L423=0,"",L423)</f>
        <v/>
      </c>
      <c r="P423" s="2"/>
      <c r="Q423" s="21"/>
      <c r="R423" s="78">
        <v>0.33333333333333331</v>
      </c>
      <c r="S423" s="78">
        <v>0.33333333333333331</v>
      </c>
      <c r="T423" s="1" t="str">
        <f>IF(Start!$B$6="Ja","",IF(((S423-R423)*24)&gt;=5.5,"X",""))</f>
        <v/>
      </c>
      <c r="U423" s="1" t="str">
        <f>IF(_xlfn.IFNA(MATCH($A$15,Start!$H$3:$H$11,0),0)&gt;0,"Ferie",(IF(L423="fri","Fri",(IF(L423="syk","Syk",IF(L423="Ferie","Ferie",IF(AND((S423-R423)=0,AB423=""),"",MAX((IF(T423="X",(S423-R423)*24-0.5,(S423-R423)*24)),AB423))))))))</f>
        <v/>
      </c>
      <c r="V423" s="58"/>
      <c r="W423" s="21" t="str">
        <f t="shared" ref="W423:W429" si="484">IF(Q423=0,"",Q423)</f>
        <v/>
      </c>
      <c r="X423" s="21" t="str">
        <f t="shared" ref="X423:X429" si="485">IF(U423=0,"",U423)</f>
        <v/>
      </c>
      <c r="Z423" s="70" t="str">
        <f>IF(SUMIFS(TrackingTime!H:H,TrackingTime!F:F,Timer!B423,TrackingTime!C:C,"Hovedkontoret")&gt;0,SUMIFS(TrackingTime!H:H,TrackingTime!F:F,Timer!B423,TrackingTime!C:C,"Hovedkontoret"),"")</f>
        <v/>
      </c>
      <c r="AA423" s="71" t="str">
        <f t="shared" si="456"/>
        <v/>
      </c>
      <c r="AB423" t="str">
        <f>IF(SUMIFS(TrackingTime!H:H,TrackingTime!F:F,Timer!B423,TrackingTime!C:C,Start!$F$3)&gt;0,SUMIFS(TrackingTime!H:H,TrackingTime!F:F,Timer!B423,TrackingTime!C:C,Start!$F$3),"")</f>
        <v/>
      </c>
      <c r="AC423" s="71" t="str">
        <f t="shared" si="458"/>
        <v/>
      </c>
    </row>
    <row r="424" spans="1:29" x14ac:dyDescent="0.25">
      <c r="A424" s="15"/>
      <c r="B424" s="63">
        <f t="shared" ref="B424:B429" si="486">B423+DAY(1)</f>
        <v>46259</v>
      </c>
      <c r="C424" t="str">
        <f>IFERROR(IF(OR(L424="Fri",L424="Ferie",L424="Syk",L424="Omsorg",B424&lt;Start!$B$7),0,IF(IFERROR(MATCH(B424,Start!A$253:A$273,0),0)&gt;0,VLOOKUP(B424,Start!A$253:F$273,3,FALSE)/100*Start!$B$4,VLOOKUP(WEEKDAY(B424,2),Start!A$240:F$246,4,FALSE))),"")</f>
        <v/>
      </c>
      <c r="D424" t="str">
        <f>IFERROR(IF(OR(U424="Fri",U424="Ferie",U424="Syk",U424="Omsorg",B424&lt;Start!$F$7),0,IF(IFERROR(MATCH(B424,Start!A$253:A$273,0),0)&gt;0,VLOOKUP(B424,Start!A$253:F$273,3,FALSE)/100*Start!$F$4,VLOOKUP(WEEKDAY(B424,2),Start!A$240:F$246,6,FALSE))),"")</f>
        <v/>
      </c>
      <c r="E424">
        <f t="shared" ca="1" si="481"/>
        <v>0</v>
      </c>
      <c r="F424">
        <f>IFERROR(IF(YEAR(B424)=Start!$B$1,MONTH(B424),""),"")</f>
        <v>8</v>
      </c>
      <c r="G424" s="64" t="str">
        <f>IFERROR(VLOOKUP(B424,Start!A$111:B$273,2,FALSE),"")</f>
        <v/>
      </c>
      <c r="H424" s="21"/>
      <c r="I424" s="78">
        <v>0.33333333333333331</v>
      </c>
      <c r="J424" s="78">
        <v>0.33333333333333331</v>
      </c>
      <c r="K424" s="1" t="str">
        <f>IF(Start!$B$6="Ja","",IF(((J424-I424)*24)&gt;=5.5,"X",""))</f>
        <v/>
      </c>
      <c r="L424" s="1" t="str">
        <f>IF(_xlfn.IFNA(MATCH($A423,Start!$H$3:$H$11,0),0)&gt;0,"Ferie",IFERROR(IF(VLOOKUP($B424,Start!$A$165:$B$234,2,FALSE)&gt;0,"Fri",0),IF(AND((J424-I424)=0,Z424=""),"",MAX((IF(K424="X",(J424-I424)*24-0.5,(J424-I424)*24)),Z424))))</f>
        <v/>
      </c>
      <c r="M424" s="58"/>
      <c r="N424" s="21" t="str">
        <f t="shared" si="482"/>
        <v/>
      </c>
      <c r="O424" s="21" t="str">
        <f t="shared" si="483"/>
        <v/>
      </c>
      <c r="P424" s="2"/>
      <c r="Q424" s="21"/>
      <c r="R424" s="78">
        <v>0.33333333333333331</v>
      </c>
      <c r="S424" s="78">
        <v>0.33333333333333331</v>
      </c>
      <c r="T424" s="1" t="str">
        <f>IF(Start!$B$6="Ja","",IF(((S424-R424)*24)&gt;=5.5,"X",""))</f>
        <v/>
      </c>
      <c r="U424" s="1" t="str">
        <f>IF(_xlfn.IFNA(MATCH($A$15,Start!$H$3:$H$11,0),0)&gt;0,"Ferie",(IF(L424="fri","Fri",(IF(L424="syk","Syk",IF(L424="Ferie","Ferie",IF(AND((S424-R424)=0,AB424=""),"",MAX((IF(T424="X",(S424-R424)*24-0.5,(S424-R424)*24)),AB424))))))))</f>
        <v/>
      </c>
      <c r="V424" s="58"/>
      <c r="W424" s="21" t="str">
        <f t="shared" si="484"/>
        <v/>
      </c>
      <c r="X424" s="21" t="str">
        <f t="shared" si="485"/>
        <v/>
      </c>
      <c r="Z424" s="70" t="str">
        <f>IF(SUMIFS(TrackingTime!H:H,TrackingTime!F:F,Timer!B424,TrackingTime!C:C,"Hovedkontoret")&gt;0,SUMIFS(TrackingTime!H:H,TrackingTime!F:F,Timer!B424,TrackingTime!C:C,"Hovedkontoret"),"")</f>
        <v/>
      </c>
      <c r="AA424" s="71" t="str">
        <f t="shared" si="456"/>
        <v/>
      </c>
      <c r="AB424" t="str">
        <f>IF(SUMIFS(TrackingTime!H:H,TrackingTime!F:F,Timer!B424,TrackingTime!C:C,Start!$F$3)&gt;0,SUMIFS(TrackingTime!H:H,TrackingTime!F:F,Timer!B424,TrackingTime!C:C,Start!$F$3),"")</f>
        <v/>
      </c>
      <c r="AC424" s="71" t="str">
        <f t="shared" si="458"/>
        <v/>
      </c>
    </row>
    <row r="425" spans="1:29" x14ac:dyDescent="0.25">
      <c r="A425" s="15"/>
      <c r="B425" s="63">
        <f t="shared" si="486"/>
        <v>46260</v>
      </c>
      <c r="C425" t="str">
        <f>IFERROR(IF(OR(L425="Fri",L425="Ferie",L425="Syk",L425="Omsorg",B425&lt;Start!$B$7),0,IF(IFERROR(MATCH(B425,Start!A$253:A$273,0),0)&gt;0,VLOOKUP(B425,Start!A$253:F$273,3,FALSE)/100*Start!$B$4,VLOOKUP(WEEKDAY(B425,2),Start!A$240:F$246,4,FALSE))),"")</f>
        <v/>
      </c>
      <c r="D425" t="str">
        <f>IFERROR(IF(OR(U425="Fri",U425="Ferie",U425="Syk",U425="Omsorg",B425&lt;Start!$F$7),0,IF(IFERROR(MATCH(B425,Start!A$253:A$273,0),0)&gt;0,VLOOKUP(B425,Start!A$253:F$273,3,FALSE)/100*Start!$F$4,VLOOKUP(WEEKDAY(B425,2),Start!A$240:F$246,6,FALSE))),"")</f>
        <v/>
      </c>
      <c r="E425">
        <f t="shared" ca="1" si="481"/>
        <v>0</v>
      </c>
      <c r="F425">
        <f>IFERROR(IF(YEAR(B425)=Start!$B$1,MONTH(B425),""),"")</f>
        <v>8</v>
      </c>
      <c r="G425" s="64" t="str">
        <f>IFERROR(VLOOKUP(B425,Start!A$111:B$273,2,FALSE),"")</f>
        <v/>
      </c>
      <c r="H425" s="21"/>
      <c r="I425" s="78">
        <v>0.33333333333333331</v>
      </c>
      <c r="J425" s="78">
        <v>0.33333333333333331</v>
      </c>
      <c r="K425" s="1" t="str">
        <f>IF(Start!$B$6="Ja","",IF(((J425-I425)*24)&gt;=5.5,"X",""))</f>
        <v/>
      </c>
      <c r="L425" s="1" t="str">
        <f>IF(_xlfn.IFNA(MATCH($A423,Start!$H$3:$H$11,0),0)&gt;0,"Ferie",IFERROR(IF(VLOOKUP(B425,Start!A$165:B$234,2,FALSE)&gt;0,"Fri",0),IF(AND((J425-I425)=0,Z425=""),"",MAX((IF(K425="X",(J425-I425)*24-0.5,(J425-I425)*24)),Z425))))</f>
        <v/>
      </c>
      <c r="M425" s="58"/>
      <c r="N425" s="21" t="str">
        <f t="shared" si="482"/>
        <v/>
      </c>
      <c r="O425" s="21" t="str">
        <f t="shared" si="483"/>
        <v/>
      </c>
      <c r="P425" s="2"/>
      <c r="Q425" s="21"/>
      <c r="R425" s="78">
        <v>0.33333333333333331</v>
      </c>
      <c r="S425" s="78">
        <v>0.33333333333333331</v>
      </c>
      <c r="T425" s="1" t="str">
        <f>IF(Start!$B$6="Ja","",IF(((S425-R425)*24)&gt;=5.5,"X",""))</f>
        <v/>
      </c>
      <c r="U425" s="1" t="str">
        <f>IF(_xlfn.IFNA(MATCH($A$15,Start!$H$3:$H$11,0),0)&gt;0,"Ferie",(IF(L425="fri","Fri",(IF(L425="syk","Syk",IF(L425="Ferie","Ferie",IF(AND((S425-R425)=0,AB425=""),"",MAX((IF(T425="X",(S425-R425)*24-0.5,(S425-R425)*24)),AB425))))))))</f>
        <v/>
      </c>
      <c r="V425" s="58"/>
      <c r="W425" s="21" t="str">
        <f t="shared" si="484"/>
        <v/>
      </c>
      <c r="X425" s="21" t="str">
        <f t="shared" si="485"/>
        <v/>
      </c>
      <c r="Z425" s="70" t="str">
        <f>IF(SUMIFS(TrackingTime!H:H,TrackingTime!F:F,Timer!B425,TrackingTime!C:C,"Hovedkontoret")&gt;0,SUMIFS(TrackingTime!H:H,TrackingTime!F:F,Timer!B425,TrackingTime!C:C,"Hovedkontoret"),"")</f>
        <v/>
      </c>
      <c r="AA425" s="71" t="str">
        <f t="shared" si="456"/>
        <v/>
      </c>
      <c r="AB425" t="str">
        <f>IF(SUMIFS(TrackingTime!H:H,TrackingTime!F:F,Timer!B425,TrackingTime!C:C,Start!$F$3)&gt;0,SUMIFS(TrackingTime!H:H,TrackingTime!F:F,Timer!B425,TrackingTime!C:C,Start!$F$3),"")</f>
        <v/>
      </c>
      <c r="AC425" s="71" t="str">
        <f t="shared" si="458"/>
        <v/>
      </c>
    </row>
    <row r="426" spans="1:29" x14ac:dyDescent="0.25">
      <c r="A426" s="15"/>
      <c r="B426" s="63">
        <f t="shared" si="486"/>
        <v>46261</v>
      </c>
      <c r="C426" t="str">
        <f>IFERROR(IF(OR(L426="Fri",L426="Ferie",L426="Syk",L426="Omsorg",B426&lt;Start!$B$7),0,IF(IFERROR(MATCH(B426,Start!A$253:A$273,0),0)&gt;0,VLOOKUP(B426,Start!A$253:F$273,3,FALSE)/100*Start!$B$4,VLOOKUP(WEEKDAY(B426,2),Start!A$240:F$246,4,FALSE))),"")</f>
        <v/>
      </c>
      <c r="D426" t="str">
        <f>IFERROR(IF(OR(U426="Fri",U426="Ferie",U426="Syk",U426="Omsorg",B426&lt;Start!$F$7),0,IF(IFERROR(MATCH(B426,Start!A$253:A$273,0),0)&gt;0,VLOOKUP(B426,Start!A$253:F$273,3,FALSE)/100*Start!$F$4,VLOOKUP(WEEKDAY(B426,2),Start!A$240:F$246,6,FALSE))),"")</f>
        <v/>
      </c>
      <c r="E426">
        <f t="shared" ca="1" si="481"/>
        <v>0</v>
      </c>
      <c r="F426">
        <f>IFERROR(IF(YEAR(B426)=Start!$B$1,MONTH(B426),""),"")</f>
        <v>8</v>
      </c>
      <c r="G426" s="64" t="str">
        <f>IFERROR(VLOOKUP(B426,Start!A$111:B$273,2,FALSE),"")</f>
        <v/>
      </c>
      <c r="H426" s="21"/>
      <c r="I426" s="78">
        <v>0.33333333333333331</v>
      </c>
      <c r="J426" s="78">
        <v>0.33333333333333331</v>
      </c>
      <c r="K426" s="1" t="str">
        <f>IF(Start!$B$6="Ja","",IF(((J426-I426)*24)&gt;=5.5,"X",""))</f>
        <v/>
      </c>
      <c r="L426" s="1" t="str">
        <f>IF(_xlfn.IFNA(MATCH($A423,Start!$H$3:$H$11,0),0)&gt;0,"Ferie",IFERROR(IF(VLOOKUP(B426,Start!A$165:B$234,2,FALSE)&gt;0,"Fri",0),IF(AND((J426-I426)=0,Z426=""),"",MAX((IF(K426="X",(J426-I426)*24-0.5,(J426-I426)*24)),Z426))))</f>
        <v/>
      </c>
      <c r="M426" s="58"/>
      <c r="N426" s="21" t="str">
        <f t="shared" si="482"/>
        <v/>
      </c>
      <c r="O426" s="21" t="str">
        <f t="shared" si="483"/>
        <v/>
      </c>
      <c r="P426" s="2"/>
      <c r="Q426" s="21"/>
      <c r="R426" s="78">
        <v>0.33333333333333331</v>
      </c>
      <c r="S426" s="78">
        <v>0.33333333333333331</v>
      </c>
      <c r="T426" s="1" t="str">
        <f>IF(Start!$B$6="Ja","",IF(((S426-R426)*24)&gt;=5.5,"X",""))</f>
        <v/>
      </c>
      <c r="U426" s="1" t="str">
        <f>IF(_xlfn.IFNA(MATCH($A$15,Start!$H$3:$H$11,0),0)&gt;0,"Ferie",(IF(L426="fri","Fri",(IF(L426="syk","Syk",IF(L426="Ferie","Ferie",IF(AND((S426-R426)=0,AB426=""),"",MAX((IF(T426="X",(S426-R426)*24-0.5,(S426-R426)*24)),AB426))))))))</f>
        <v/>
      </c>
      <c r="V426" s="58"/>
      <c r="W426" s="21" t="str">
        <f t="shared" si="484"/>
        <v/>
      </c>
      <c r="X426" s="21" t="str">
        <f t="shared" si="485"/>
        <v/>
      </c>
      <c r="Z426" s="70" t="str">
        <f>IF(SUMIFS(TrackingTime!H:H,TrackingTime!F:F,Timer!B426,TrackingTime!C:C,"Hovedkontoret")&gt;0,SUMIFS(TrackingTime!H:H,TrackingTime!F:F,Timer!B426,TrackingTime!C:C,"Hovedkontoret"),"")</f>
        <v/>
      </c>
      <c r="AA426" s="71" t="str">
        <f t="shared" si="456"/>
        <v/>
      </c>
      <c r="AB426" t="str">
        <f>IF(SUMIFS(TrackingTime!H:H,TrackingTime!F:F,Timer!B426,TrackingTime!C:C,Start!$F$3)&gt;0,SUMIFS(TrackingTime!H:H,TrackingTime!F:F,Timer!B426,TrackingTime!C:C,Start!$F$3),"")</f>
        <v/>
      </c>
      <c r="AC426" s="71" t="str">
        <f t="shared" si="458"/>
        <v/>
      </c>
    </row>
    <row r="427" spans="1:29" x14ac:dyDescent="0.25">
      <c r="A427" s="15"/>
      <c r="B427" s="63">
        <f t="shared" si="486"/>
        <v>46262</v>
      </c>
      <c r="C427" t="str">
        <f>IFERROR(IF(OR(L427="Fri",L427="Ferie",L427="Syk",L427="Omsorg",B427&lt;Start!$B$7),0,IF(IFERROR(MATCH(B427,Start!A$253:A$273,0),0)&gt;0,VLOOKUP(B427,Start!A$253:F$273,3,FALSE)/100*Start!$B$4,VLOOKUP(WEEKDAY(B427,2),Start!A$240:F$246,4,FALSE))),"")</f>
        <v/>
      </c>
      <c r="D427" t="str">
        <f>IFERROR(IF(OR(U427="Fri",U427="Ferie",U427="Syk",U427="Omsorg",B427&lt;Start!$F$7),0,IF(IFERROR(MATCH(B427,Start!A$253:A$273,0),0)&gt;0,VLOOKUP(B427,Start!A$253:F$273,3,FALSE)/100*Start!$F$4,VLOOKUP(WEEKDAY(B427,2),Start!A$240:F$246,6,FALSE))),"")</f>
        <v/>
      </c>
      <c r="E427">
        <f t="shared" ca="1" si="481"/>
        <v>0</v>
      </c>
      <c r="F427">
        <f>IFERROR(IF(YEAR(B427)=Start!$B$1,MONTH(B427),""),"")</f>
        <v>8</v>
      </c>
      <c r="G427" s="64" t="str">
        <f>IFERROR(VLOOKUP(B427,Start!A$111:B$273,2,FALSE),"")</f>
        <v/>
      </c>
      <c r="H427" s="21"/>
      <c r="I427" s="78">
        <v>0.33333333333333331</v>
      </c>
      <c r="J427" s="78">
        <v>0.33333333333333331</v>
      </c>
      <c r="K427" s="1" t="str">
        <f>IF(Start!$B$6="Ja","",IF(((J427-I427)*24)&gt;=5.5,"X",""))</f>
        <v/>
      </c>
      <c r="L427" s="1" t="str">
        <f>IF(_xlfn.IFNA(MATCH($A423,Start!$H$3:$H$11,0),0)&gt;0,"Ferie",IFERROR(IF(VLOOKUP(B427,Start!A$165:B$234,2,FALSE)&gt;0,"Fri",0),IF(AND((J427-I427)=0,Z427=""),"",MAX((IF(K427="X",(J427-I427)*24-0.5,(J427-I427)*24)),Z427))))</f>
        <v/>
      </c>
      <c r="M427" s="58"/>
      <c r="N427" s="21" t="str">
        <f t="shared" si="482"/>
        <v/>
      </c>
      <c r="O427" s="21" t="str">
        <f t="shared" si="483"/>
        <v/>
      </c>
      <c r="P427" s="2"/>
      <c r="Q427" s="21"/>
      <c r="R427" s="78">
        <v>0.33333333333333331</v>
      </c>
      <c r="S427" s="78">
        <v>0.33333333333333331</v>
      </c>
      <c r="T427" s="1" t="str">
        <f>IF(Start!$B$6="Ja","",IF(((S427-R427)*24)&gt;=5.5,"X",""))</f>
        <v/>
      </c>
      <c r="U427" s="1" t="str">
        <f>IF(_xlfn.IFNA(MATCH($A$15,Start!$H$3:$H$11,0),0)&gt;0,"Ferie",(IF(L427="fri","Fri",(IF(L427="syk","Syk",IF(L427="Ferie","Ferie",IF(AND((S427-R427)=0,AB427=""),"",MAX((IF(T427="X",(S427-R427)*24-0.5,(S427-R427)*24)),AB427))))))))</f>
        <v/>
      </c>
      <c r="V427" s="58"/>
      <c r="W427" s="21" t="str">
        <f t="shared" si="484"/>
        <v/>
      </c>
      <c r="X427" s="21" t="str">
        <f t="shared" si="485"/>
        <v/>
      </c>
      <c r="Z427" s="70" t="str">
        <f>IF(SUMIFS(TrackingTime!H:H,TrackingTime!F:F,Timer!B427,TrackingTime!C:C,"Hovedkontoret")&gt;0,SUMIFS(TrackingTime!H:H,TrackingTime!F:F,Timer!B427,TrackingTime!C:C,"Hovedkontoret"),"")</f>
        <v/>
      </c>
      <c r="AA427" s="71" t="str">
        <f t="shared" si="456"/>
        <v/>
      </c>
      <c r="AB427" t="str">
        <f>IF(SUMIFS(TrackingTime!H:H,TrackingTime!F:F,Timer!B427,TrackingTime!C:C,Start!$F$3)&gt;0,SUMIFS(TrackingTime!H:H,TrackingTime!F:F,Timer!B427,TrackingTime!C:C,Start!$F$3),"")</f>
        <v/>
      </c>
      <c r="AC427" s="71" t="str">
        <f t="shared" si="458"/>
        <v/>
      </c>
    </row>
    <row r="428" spans="1:29" x14ac:dyDescent="0.25">
      <c r="A428" s="15"/>
      <c r="B428" s="63">
        <f t="shared" si="486"/>
        <v>46263</v>
      </c>
      <c r="C428">
        <f>IFERROR(IF(OR(L428="Fri",L428="Ferie",L428="Syk",L428="Omsorg",B428&lt;Start!$B$7),0,IF(IFERROR(MATCH(B428,Start!A$253:A$273,0),0)&gt;0,VLOOKUP(B428,Start!A$253:F$273,3,FALSE)/100*Start!$B$4,VLOOKUP(WEEKDAY(B428,2),Start!A$240:F$246,4,FALSE))),"")</f>
        <v>0</v>
      </c>
      <c r="D428">
        <f>IFERROR(IF(OR(U428="Fri",U428="Ferie",U428="Syk",U428="Omsorg",B428&lt;Start!$F$7),0,IF(IFERROR(MATCH(B428,Start!A$253:A$273,0),0)&gt;0,VLOOKUP(B428,Start!A$253:F$273,3,FALSE)/100*Start!$F$4,VLOOKUP(WEEKDAY(B428,2),Start!A$240:F$246,6,FALSE))),"")</f>
        <v>0</v>
      </c>
      <c r="E428">
        <f t="shared" ca="1" si="481"/>
        <v>0</v>
      </c>
      <c r="F428">
        <f>IFERROR(IF(YEAR(B428)=Start!$B$1,MONTH(B428),""),"")</f>
        <v>8</v>
      </c>
      <c r="G428" s="64" t="str">
        <f>IFERROR(VLOOKUP(B428,Start!A$111:B$273,2,FALSE),"")</f>
        <v/>
      </c>
      <c r="H428" s="21"/>
      <c r="I428" s="78">
        <v>0.41666666666666669</v>
      </c>
      <c r="J428" s="78">
        <v>0.41666666666666669</v>
      </c>
      <c r="K428" s="1" t="str">
        <f>IF(Start!$B$6="Ja","",IF(((J428-I428)*24)&gt;=5.5,"X",""))</f>
        <v/>
      </c>
      <c r="L428" s="1" t="str">
        <f t="shared" ref="L428:L429" si="487">IF(AND((J428-I428)=0,Z428=""),"",MAX((IF(K428="X",(J428-I428)*24-0.5,(J428-I428)*24)),Z428))</f>
        <v/>
      </c>
      <c r="M428" s="58"/>
      <c r="N428" s="21" t="str">
        <f t="shared" si="482"/>
        <v/>
      </c>
      <c r="O428" s="21" t="str">
        <f t="shared" si="483"/>
        <v/>
      </c>
      <c r="P428" s="2"/>
      <c r="Q428" s="21"/>
      <c r="R428" s="78">
        <v>0.41666666666666669</v>
      </c>
      <c r="S428" s="78">
        <v>0.41666666666666669</v>
      </c>
      <c r="T428" s="1" t="str">
        <f>IF(Start!$B$6="Ja","",IF(((S428-R428)*24)&gt;=5.5,"X",""))</f>
        <v/>
      </c>
      <c r="U428" s="1" t="str">
        <f t="shared" ref="U428:U429" si="488">IF(AND((S428-R428)=0,AB428=""),"",MAX((IF(T428="X",(S428-R428)*24-0.5,(S428-R428)*24)),AB428))</f>
        <v/>
      </c>
      <c r="V428" s="58"/>
      <c r="W428" s="21" t="str">
        <f t="shared" si="484"/>
        <v/>
      </c>
      <c r="X428" s="21" t="str">
        <f t="shared" si="485"/>
        <v/>
      </c>
      <c r="Z428" s="70" t="str">
        <f>IF(SUMIFS(TrackingTime!H:H,TrackingTime!F:F,Timer!B428,TrackingTime!C:C,"Hovedkontoret")&gt;0,SUMIFS(TrackingTime!H:H,TrackingTime!F:F,Timer!B428,TrackingTime!C:C,"Hovedkontoret"),"")</f>
        <v/>
      </c>
      <c r="AA428" s="71" t="str">
        <f t="shared" si="456"/>
        <v/>
      </c>
      <c r="AB428" t="str">
        <f>IF(SUMIFS(TrackingTime!H:H,TrackingTime!F:F,Timer!B428,TrackingTime!C:C,Start!$F$3)&gt;0,SUMIFS(TrackingTime!H:H,TrackingTime!F:F,Timer!B428,TrackingTime!C:C,Start!$F$3),"")</f>
        <v/>
      </c>
      <c r="AC428" s="71" t="str">
        <f t="shared" si="458"/>
        <v/>
      </c>
    </row>
    <row r="429" spans="1:29" x14ac:dyDescent="0.25">
      <c r="A429" s="15"/>
      <c r="B429" s="63">
        <f t="shared" si="486"/>
        <v>46264</v>
      </c>
      <c r="C429">
        <f>IFERROR(IF(OR(L429="Fri",L429="Ferie",L429="Syk",L429="Omsorg",B429&lt;Start!$B$7),0,IF(IFERROR(MATCH(B429,Start!A$253:A$273,0),0)&gt;0,VLOOKUP(B429,Start!A$253:F$273,3,FALSE)/100*Start!$B$4,VLOOKUP(WEEKDAY(B429,2),Start!A$240:F$246,4,FALSE))),"")</f>
        <v>0</v>
      </c>
      <c r="D429">
        <f>IFERROR(IF(OR(U429="Fri",U429="Ferie",U429="Syk",U429="Omsorg",B429&lt;Start!$F$7),0,IF(IFERROR(MATCH(B429,Start!A$253:A$273,0),0)&gt;0,VLOOKUP(B429,Start!A$253:F$273,3,FALSE)/100*Start!$F$4,VLOOKUP(WEEKDAY(B429,2),Start!A$240:F$246,6,FALSE))),"")</f>
        <v>0</v>
      </c>
      <c r="E429">
        <f t="shared" ca="1" si="481"/>
        <v>0</v>
      </c>
      <c r="F429">
        <f>IFERROR(IF(YEAR(B429)=Start!$B$1,MONTH(B429),""),"")</f>
        <v>8</v>
      </c>
      <c r="G429" s="64" t="str">
        <f>IFERROR(VLOOKUP(B429,Start!A$111:B$273,2,FALSE),"")</f>
        <v/>
      </c>
      <c r="H429" s="25"/>
      <c r="I429" s="78">
        <v>0.41666666666666669</v>
      </c>
      <c r="J429" s="78">
        <v>0.41666666666666669</v>
      </c>
      <c r="K429" s="1" t="str">
        <f>IF(Start!$B$6="Ja","",IF(((J429-I429)*24)&gt;=5.5,"X",""))</f>
        <v/>
      </c>
      <c r="L429" s="1" t="str">
        <f t="shared" si="487"/>
        <v/>
      </c>
      <c r="M429" s="58"/>
      <c r="N429" s="21" t="str">
        <f t="shared" si="482"/>
        <v/>
      </c>
      <c r="O429" s="21" t="str">
        <f t="shared" si="483"/>
        <v/>
      </c>
      <c r="Q429" s="25"/>
      <c r="R429" s="78">
        <v>0.41666666666666669</v>
      </c>
      <c r="S429" s="78">
        <v>0.41666666666666669</v>
      </c>
      <c r="T429" s="1" t="str">
        <f>IF(Start!$B$6="Ja","",IF(((S429-R429)*24)&gt;=5.5,"X",""))</f>
        <v/>
      </c>
      <c r="U429" s="1" t="str">
        <f t="shared" si="488"/>
        <v/>
      </c>
      <c r="V429" s="58"/>
      <c r="W429" s="21" t="str">
        <f t="shared" si="484"/>
        <v/>
      </c>
      <c r="X429" s="21" t="str">
        <f t="shared" si="485"/>
        <v/>
      </c>
      <c r="Z429" s="70" t="str">
        <f>IF(SUMIFS(TrackingTime!H:H,TrackingTime!F:F,Timer!B429,TrackingTime!C:C,"Hovedkontoret")&gt;0,SUMIFS(TrackingTime!H:H,TrackingTime!F:F,Timer!B429,TrackingTime!C:C,"Hovedkontoret"),"")</f>
        <v/>
      </c>
      <c r="AA429" s="71" t="str">
        <f t="shared" si="456"/>
        <v/>
      </c>
      <c r="AB429" t="str">
        <f>IF(SUMIFS(TrackingTime!H:H,TrackingTime!F:F,Timer!B429,TrackingTime!C:C,Start!$F$3)&gt;0,SUMIFS(TrackingTime!H:H,TrackingTime!F:F,Timer!B429,TrackingTime!C:C,Start!$F$3),"")</f>
        <v/>
      </c>
      <c r="AC429" s="71" t="str">
        <f t="shared" si="458"/>
        <v/>
      </c>
    </row>
    <row r="430" spans="1:29" x14ac:dyDescent="0.25">
      <c r="A430" s="15"/>
      <c r="B430" s="4" t="s">
        <v>11</v>
      </c>
      <c r="C430" s="24"/>
      <c r="D430" s="24"/>
      <c r="E430" s="24">
        <f t="shared" ca="1" si="481"/>
        <v>0</v>
      </c>
      <c r="F430" s="24" t="str">
        <f>IFERROR(IF(YEAR(B430)=Start!$B$1,MONTH(B430),""),"")</f>
        <v/>
      </c>
      <c r="G430" s="64" t="str">
        <f>IFERROR(VLOOKUP(B430,Start!A$111:B$273,2,FALSE),"")</f>
        <v/>
      </c>
      <c r="H430" s="4"/>
      <c r="I430" s="4"/>
      <c r="J430" s="4"/>
      <c r="K430" s="4"/>
      <c r="L430" s="5">
        <f t="shared" si="430"/>
        <v>0</v>
      </c>
      <c r="N430" s="24"/>
      <c r="O430" s="39">
        <f t="shared" ref="O430" si="489">SUM(O423:O429)</f>
        <v>0</v>
      </c>
      <c r="P430" s="40"/>
      <c r="Q430" s="41"/>
      <c r="R430" s="4"/>
      <c r="S430" s="4"/>
      <c r="T430" s="4"/>
      <c r="U430" s="5">
        <f t="shared" ref="U430" si="490">SUM($U423:$U429)</f>
        <v>0</v>
      </c>
      <c r="V430" s="58"/>
      <c r="W430" s="39"/>
      <c r="X430" s="39">
        <f t="shared" si="463"/>
        <v>0</v>
      </c>
      <c r="Z430" s="70" t="str">
        <f>IF(SUMIFS(TrackingTime!H:H,TrackingTime!F:F,Timer!B430,TrackingTime!C:C,"Hovedkontoret")&gt;0,SUMIFS(TrackingTime!H:H,TrackingTime!F:F,Timer!B430,TrackingTime!C:C,"Hovedkontoret"),"")</f>
        <v/>
      </c>
      <c r="AA430" s="71" t="str">
        <f t="shared" si="456"/>
        <v/>
      </c>
      <c r="AB430" t="str">
        <f>IF(SUMIFS(TrackingTime!H:H,TrackingTime!F:F,Timer!B430,TrackingTime!C:C,Start!$F$3)&gt;0,SUMIFS(TrackingTime!H:H,TrackingTime!F:F,Timer!B430,TrackingTime!C:C,Start!$F$3),"")</f>
        <v/>
      </c>
      <c r="AC430" s="71" t="str">
        <f t="shared" si="458"/>
        <v/>
      </c>
    </row>
    <row r="431" spans="1:29" x14ac:dyDescent="0.25">
      <c r="A431" s="15"/>
      <c r="B431" t="s">
        <v>90</v>
      </c>
      <c r="E431">
        <f t="shared" ca="1" si="481"/>
        <v>0</v>
      </c>
      <c r="F431" t="str">
        <f>IFERROR(IF(YEAR(B431)=Start!$B$1,MONTH(B431),""),"")</f>
        <v/>
      </c>
      <c r="G431" s="64" t="str">
        <f>IFERROR(VLOOKUP(B431,Start!A$111:B$273,2,FALSE),"")</f>
        <v/>
      </c>
      <c r="L431" s="1">
        <f t="shared" si="433"/>
        <v>0</v>
      </c>
      <c r="M431" s="1"/>
      <c r="N431" s="1"/>
      <c r="O431" s="21">
        <f t="shared" ref="O431" si="491">L431</f>
        <v>0</v>
      </c>
      <c r="P431" s="40"/>
      <c r="Q431" s="21"/>
      <c r="U431" s="1">
        <f t="shared" ref="U431" si="492">SUMIFS(D423:D429,F423:F429,"&gt;0")</f>
        <v>0</v>
      </c>
      <c r="V431" s="1"/>
      <c r="W431" s="1"/>
      <c r="X431" s="21">
        <f>U431</f>
        <v>0</v>
      </c>
      <c r="Z431" s="70" t="str">
        <f>IF(SUMIFS(TrackingTime!H:H,TrackingTime!F:F,Timer!B431,TrackingTime!C:C,"Hovedkontoret")&gt;0,SUMIFS(TrackingTime!H:H,TrackingTime!F:F,Timer!B431,TrackingTime!C:C,"Hovedkontoret"),"")</f>
        <v/>
      </c>
      <c r="AA431" s="71" t="str">
        <f t="shared" si="456"/>
        <v/>
      </c>
      <c r="AB431" t="str">
        <f>IF(SUMIFS(TrackingTime!H:H,TrackingTime!F:F,Timer!B431,TrackingTime!C:C,Start!$F$3)&gt;0,SUMIFS(TrackingTime!H:H,TrackingTime!F:F,Timer!B431,TrackingTime!C:C,Start!$F$3),"")</f>
        <v/>
      </c>
      <c r="AC431" s="71" t="str">
        <f t="shared" si="458"/>
        <v/>
      </c>
    </row>
    <row r="432" spans="1:29" x14ac:dyDescent="0.25">
      <c r="A432" s="16">
        <f>B429-B423-1</f>
        <v>5</v>
      </c>
      <c r="B432" t="s">
        <v>117</v>
      </c>
      <c r="E432">
        <f t="shared" ca="1" si="481"/>
        <v>0</v>
      </c>
      <c r="F432" t="str">
        <f>IFERROR(IF(YEAR(B432)=Start!$B$1,MONTH(B432),""),"")</f>
        <v/>
      </c>
      <c r="G432" s="64" t="str">
        <f>IFERROR(VLOOKUP(B432,Start!A$111:B$273,2,FALSE),"")</f>
        <v/>
      </c>
      <c r="L432" s="77">
        <f t="shared" ca="1" si="436"/>
        <v>0</v>
      </c>
      <c r="O432" s="21">
        <f t="shared" ref="O432" si="493">O430-O431</f>
        <v>0</v>
      </c>
      <c r="P432" s="21"/>
      <c r="Q432" s="21"/>
      <c r="U432" s="1">
        <f t="shared" ref="U432" ca="1" si="494">U430-U431*(IF(NETWORKDAYS($B423,TODAY())&lt;0,0,IF(NETWORKDAYS($B423,TODAY())&lt;=$A432,NETWORKDAYS($B423,TODAY()),$A432)))/$A432</f>
        <v>0</v>
      </c>
      <c r="V432" s="58"/>
      <c r="W432" s="21"/>
      <c r="X432" s="21">
        <f>X430-X431</f>
        <v>0</v>
      </c>
      <c r="Z432" s="70" t="str">
        <f>IF(SUMIFS(TrackingTime!H:H,TrackingTime!F:F,Timer!B432,TrackingTime!C:C,"Hovedkontoret")&gt;0,SUMIFS(TrackingTime!H:H,TrackingTime!F:F,Timer!B432,TrackingTime!C:C,"Hovedkontoret"),"")</f>
        <v/>
      </c>
      <c r="AA432" s="71" t="str">
        <f t="shared" si="456"/>
        <v/>
      </c>
      <c r="AB432" t="str">
        <f>IF(SUMIFS(TrackingTime!H:H,TrackingTime!F:F,Timer!B432,TrackingTime!C:C,Start!$F$3)&gt;0,SUMIFS(TrackingTime!H:H,TrackingTime!F:F,Timer!B432,TrackingTime!C:C,Start!$F$3),"")</f>
        <v/>
      </c>
      <c r="AC432" s="71" t="str">
        <f t="shared" si="458"/>
        <v/>
      </c>
    </row>
    <row r="433" spans="1:29" x14ac:dyDescent="0.25">
      <c r="A433" s="15"/>
      <c r="E433">
        <f t="shared" ca="1" si="481"/>
        <v>1</v>
      </c>
      <c r="F433" t="str">
        <f>IFERROR(IF(YEAR(B433)=Start!$B$1,MONTH(B433),""),"")</f>
        <v/>
      </c>
      <c r="G433" s="64" t="str">
        <f>IFERROR(VLOOKUP(B433,Start!A$111:B$273,2,FALSE),"")</f>
        <v/>
      </c>
      <c r="O433" s="2"/>
      <c r="P433" s="2"/>
      <c r="U433" s="1"/>
      <c r="V433" s="7"/>
      <c r="X433" s="2"/>
      <c r="Z433" s="70" t="str">
        <f>IF(SUMIFS(TrackingTime!H:H,TrackingTime!F:F,Timer!B433,TrackingTime!C:C,"Hovedkontoret")&gt;0,SUMIFS(TrackingTime!H:H,TrackingTime!F:F,Timer!B433,TrackingTime!C:C,"Hovedkontoret"),"")</f>
        <v/>
      </c>
      <c r="AA433" s="71" t="str">
        <f t="shared" si="456"/>
        <v/>
      </c>
      <c r="AB433" t="str">
        <f>IF(SUMIFS(TrackingTime!H:H,TrackingTime!F:F,Timer!B433,TrackingTime!C:C,Start!$F$3)&gt;0,SUMIFS(TrackingTime!H:H,TrackingTime!F:F,Timer!B433,TrackingTime!C:C,Start!$F$3),"")</f>
        <v/>
      </c>
      <c r="AC433" s="71" t="str">
        <f t="shared" si="458"/>
        <v/>
      </c>
    </row>
    <row r="434" spans="1:29" x14ac:dyDescent="0.25">
      <c r="A434" s="2" t="s">
        <v>82</v>
      </c>
      <c r="B434" s="14" t="s">
        <v>83</v>
      </c>
      <c r="E434">
        <f t="shared" ca="1" si="481"/>
        <v>0</v>
      </c>
      <c r="F434" t="str">
        <f>IFERROR(IF(YEAR(B434)=Start!$B$1,MONTH(B434),""),"")</f>
        <v/>
      </c>
      <c r="G434" s="64" t="str">
        <f>IFERROR(VLOOKUP(B434,Start!A$111:B$273,2,FALSE),"")</f>
        <v/>
      </c>
      <c r="H434" s="2" t="s">
        <v>86</v>
      </c>
      <c r="I434" s="2" t="s">
        <v>125</v>
      </c>
      <c r="J434" s="2" t="s">
        <v>126</v>
      </c>
      <c r="K434" s="2" t="s">
        <v>127</v>
      </c>
      <c r="L434" s="3" t="s">
        <v>87</v>
      </c>
      <c r="M434" s="6"/>
      <c r="N434" s="2" t="s">
        <v>88</v>
      </c>
      <c r="O434" s="2" t="s">
        <v>89</v>
      </c>
      <c r="P434" s="2"/>
      <c r="Q434" s="2" t="s">
        <v>86</v>
      </c>
      <c r="R434" s="2" t="s">
        <v>125</v>
      </c>
      <c r="S434" s="2" t="s">
        <v>126</v>
      </c>
      <c r="T434" s="2" t="s">
        <v>127</v>
      </c>
      <c r="U434" s="3" t="s">
        <v>87</v>
      </c>
      <c r="V434" s="6"/>
      <c r="W434" s="2" t="s">
        <v>88</v>
      </c>
      <c r="X434" s="2" t="s">
        <v>89</v>
      </c>
      <c r="Z434" s="70" t="str">
        <f>IF(SUMIFS(TrackingTime!H:H,TrackingTime!F:F,Timer!B434,TrackingTime!C:C,"Hovedkontoret")&gt;0,SUMIFS(TrackingTime!H:H,TrackingTime!F:F,Timer!B434,TrackingTime!C:C,"Hovedkontoret"),"")</f>
        <v/>
      </c>
      <c r="AA434" s="71" t="str">
        <f t="shared" si="456"/>
        <v/>
      </c>
      <c r="AB434" t="str">
        <f>IF(SUMIFS(TrackingTime!H:H,TrackingTime!F:F,Timer!B434,TrackingTime!C:C,Start!$F$3)&gt;0,SUMIFS(TrackingTime!H:H,TrackingTime!F:F,Timer!B434,TrackingTime!C:C,Start!$F$3),"")</f>
        <v/>
      </c>
      <c r="AC434" s="71" t="str">
        <f t="shared" si="458"/>
        <v/>
      </c>
    </row>
    <row r="435" spans="1:29" x14ac:dyDescent="0.25">
      <c r="A435" s="15">
        <f>WEEKNUM(B435,21)</f>
        <v>36</v>
      </c>
      <c r="B435" s="63">
        <f>B429+(DAY(1))</f>
        <v>46265</v>
      </c>
      <c r="C435" t="str">
        <f>IFERROR(IF(OR(L435="Fri",L435="Ferie",L435="Syk",L435="Omsorg",B435&lt;Start!$B$7),0,IF(IFERROR(MATCH(B435,Start!A$253:A$273,0),0)&gt;0,VLOOKUP(B435,Start!A$253:F$273,3,FALSE)/100*Start!$B$4,VLOOKUP(WEEKDAY(B435,2),Start!A$240:F$246,4,FALSE))),"")</f>
        <v/>
      </c>
      <c r="D435" t="str">
        <f>IFERROR(IF(OR(U435="Fri",U435="Ferie",U435="Syk",U435="Omsorg",B435&lt;Start!$F$7),0,IF(IFERROR(MATCH(B435,Start!A$253:A$273,0),0)&gt;0,VLOOKUP(B435,Start!A$253:F$273,3,FALSE)/100*Start!$F$4,VLOOKUP(WEEKDAY(B435,2),Start!A$240:F$246,6,FALSE))),"")</f>
        <v/>
      </c>
      <c r="E435">
        <f t="shared" ca="1" si="481"/>
        <v>0</v>
      </c>
      <c r="F435">
        <f>IFERROR(IF(YEAR(B435)=Start!$B$1,MONTH(B435),""),"")</f>
        <v>8</v>
      </c>
      <c r="G435" s="64" t="str">
        <f>IFERROR(VLOOKUP(B435,Start!A$111:B$273,2,FALSE),"")</f>
        <v/>
      </c>
      <c r="H435" s="21"/>
      <c r="I435" s="78">
        <v>0.33333333333333331</v>
      </c>
      <c r="J435" s="78">
        <v>0.33333333333333331</v>
      </c>
      <c r="K435" s="1" t="str">
        <f>IF(Start!$B$6="Ja","",IF(((J435-I435)*24)&gt;=5.5,"X",""))</f>
        <v/>
      </c>
      <c r="L435" s="1" t="str">
        <f>IF(_xlfn.IFNA(MATCH($A435,Start!$H$3:$H$11,0),0)&gt;0,"Ferie",IFERROR(IF(VLOOKUP(B435,Start!A$165:B$234,2,FALSE)&gt;0,"Fri",0),IF(AND((J435-I435)=0,Z435=""),"",MAX((IF(K435="X",(J435-I435)*24-0.5,(J435-I435)*24)),Z435))))</f>
        <v/>
      </c>
      <c r="M435" s="58"/>
      <c r="N435" s="21" t="str">
        <f t="shared" ref="N435:N441" si="495">IF(H435=0,"",H435)</f>
        <v/>
      </c>
      <c r="O435" s="21" t="str">
        <f t="shared" ref="O435:O441" si="496">IF(L435=0,"",L435)</f>
        <v/>
      </c>
      <c r="P435" s="2"/>
      <c r="Q435" s="21"/>
      <c r="R435" s="78">
        <v>0.33333333333333331</v>
      </c>
      <c r="S435" s="78">
        <v>0.33333333333333331</v>
      </c>
      <c r="T435" s="1" t="str">
        <f>IF(Start!$B$6="Ja","",IF(((S435-R435)*24)&gt;=5.5,"X",""))</f>
        <v/>
      </c>
      <c r="U435" s="1" t="str">
        <f>IF(_xlfn.IFNA(MATCH($A$15,Start!$H$3:$H$11,0),0)&gt;0,"Ferie",(IF(L435="fri","Fri",(IF(L435="syk","Syk",IF(L435="Ferie","Ferie",IF(AND((S435-R435)=0,AB435=""),"",MAX((IF(T435="X",(S435-R435)*24-0.5,(S435-R435)*24)),AB435))))))))</f>
        <v/>
      </c>
      <c r="V435" s="58"/>
      <c r="W435" s="21" t="str">
        <f t="shared" ref="W435:W441" si="497">IF(Q435=0,"",Q435)</f>
        <v/>
      </c>
      <c r="X435" s="21" t="str">
        <f t="shared" ref="X435:X441" si="498">IF(U435=0,"",U435)</f>
        <v/>
      </c>
      <c r="Z435" s="70" t="str">
        <f>IF(SUMIFS(TrackingTime!H:H,TrackingTime!F:F,Timer!B435,TrackingTime!C:C,"Hovedkontoret")&gt;0,SUMIFS(TrackingTime!H:H,TrackingTime!F:F,Timer!B435,TrackingTime!C:C,"Hovedkontoret"),"")</f>
        <v/>
      </c>
      <c r="AA435" s="71" t="str">
        <f t="shared" si="456"/>
        <v/>
      </c>
      <c r="AB435" t="str">
        <f>IF(SUMIFS(TrackingTime!H:H,TrackingTime!F:F,Timer!B435,TrackingTime!C:C,Start!$F$3)&gt;0,SUMIFS(TrackingTime!H:H,TrackingTime!F:F,Timer!B435,TrackingTime!C:C,Start!$F$3),"")</f>
        <v/>
      </c>
      <c r="AC435" s="71" t="str">
        <f t="shared" si="458"/>
        <v/>
      </c>
    </row>
    <row r="436" spans="1:29" x14ac:dyDescent="0.25">
      <c r="A436" s="15"/>
      <c r="B436" s="63">
        <f t="shared" ref="B436:B441" si="499">B435+DAY(1)</f>
        <v>46266</v>
      </c>
      <c r="C436" t="str">
        <f>IFERROR(IF(OR(L436="Fri",L436="Ferie",L436="Syk",L436="Omsorg",B436&lt;Start!$B$7),0,IF(IFERROR(MATCH(B436,Start!A$253:A$273,0),0)&gt;0,VLOOKUP(B436,Start!A$253:F$273,3,FALSE)/100*Start!$B$4,VLOOKUP(WEEKDAY(B436,2),Start!A$240:F$246,4,FALSE))),"")</f>
        <v/>
      </c>
      <c r="D436" t="str">
        <f>IFERROR(IF(OR(U436="Fri",U436="Ferie",U436="Syk",U436="Omsorg",B436&lt;Start!$F$7),0,IF(IFERROR(MATCH(B436,Start!A$253:A$273,0),0)&gt;0,VLOOKUP(B436,Start!A$253:F$273,3,FALSE)/100*Start!$F$4,VLOOKUP(WEEKDAY(B436,2),Start!A$240:F$246,6,FALSE))),"")</f>
        <v/>
      </c>
      <c r="E436">
        <f t="shared" ca="1" si="481"/>
        <v>0</v>
      </c>
      <c r="F436">
        <f>IFERROR(IF(YEAR(B436)=Start!$B$1,MONTH(B436),""),"")</f>
        <v>9</v>
      </c>
      <c r="G436" s="64" t="str">
        <f>IFERROR(VLOOKUP(B436,Start!A$111:B$273,2,FALSE),"")</f>
        <v/>
      </c>
      <c r="H436" s="21"/>
      <c r="I436" s="78">
        <v>0.33333333333333331</v>
      </c>
      <c r="J436" s="78">
        <v>0.33333333333333331</v>
      </c>
      <c r="K436" s="1" t="str">
        <f>IF(Start!$B$6="Ja","",IF(((J436-I436)*24)&gt;=5.5,"X",""))</f>
        <v/>
      </c>
      <c r="L436" s="1" t="str">
        <f>IF(_xlfn.IFNA(MATCH($A435,Start!$H$3:$H$11,0),0)&gt;0,"Ferie",IFERROR(IF(VLOOKUP($B436,Start!$A$165:$B$234,2,FALSE)&gt;0,"Fri",0),IF(AND((J436-I436)=0,Z436=""),"",MAX((IF(K436="X",(J436-I436)*24-0.5,(J436-I436)*24)),Z436))))</f>
        <v/>
      </c>
      <c r="M436" s="58"/>
      <c r="N436" s="21" t="str">
        <f t="shared" si="495"/>
        <v/>
      </c>
      <c r="O436" s="21" t="str">
        <f t="shared" si="496"/>
        <v/>
      </c>
      <c r="P436" s="2"/>
      <c r="Q436" s="21"/>
      <c r="R436" s="78">
        <v>0.33333333333333331</v>
      </c>
      <c r="S436" s="78">
        <v>0.33333333333333331</v>
      </c>
      <c r="T436" s="1" t="str">
        <f>IF(Start!$B$6="Ja","",IF(((S436-R436)*24)&gt;=5.5,"X",""))</f>
        <v/>
      </c>
      <c r="U436" s="1" t="str">
        <f>IF(_xlfn.IFNA(MATCH($A$15,Start!$H$3:$H$11,0),0)&gt;0,"Ferie",(IF(L436="fri","Fri",(IF(L436="syk","Syk",IF(L436="Ferie","Ferie",IF(AND((S436-R436)=0,AB436=""),"",MAX((IF(T436="X",(S436-R436)*24-0.5,(S436-R436)*24)),AB436))))))))</f>
        <v/>
      </c>
      <c r="V436" s="58"/>
      <c r="W436" s="21" t="str">
        <f t="shared" si="497"/>
        <v/>
      </c>
      <c r="X436" s="21" t="str">
        <f t="shared" si="498"/>
        <v/>
      </c>
      <c r="Z436" s="70" t="str">
        <f>IF(SUMIFS(TrackingTime!H:H,TrackingTime!F:F,Timer!B436,TrackingTime!C:C,"Hovedkontoret")&gt;0,SUMIFS(TrackingTime!H:H,TrackingTime!F:F,Timer!B436,TrackingTime!C:C,"Hovedkontoret"),"")</f>
        <v/>
      </c>
      <c r="AA436" s="71" t="str">
        <f t="shared" si="456"/>
        <v/>
      </c>
      <c r="AB436" t="str">
        <f>IF(SUMIFS(TrackingTime!H:H,TrackingTime!F:F,Timer!B436,TrackingTime!C:C,Start!$F$3)&gt;0,SUMIFS(TrackingTime!H:H,TrackingTime!F:F,Timer!B436,TrackingTime!C:C,Start!$F$3),"")</f>
        <v/>
      </c>
      <c r="AC436" s="71" t="str">
        <f t="shared" si="458"/>
        <v/>
      </c>
    </row>
    <row r="437" spans="1:29" x14ac:dyDescent="0.25">
      <c r="A437" s="15"/>
      <c r="B437" s="63">
        <f t="shared" si="499"/>
        <v>46267</v>
      </c>
      <c r="C437" t="str">
        <f>IFERROR(IF(OR(L437="Fri",L437="Ferie",L437="Syk",L437="Omsorg",B437&lt;Start!$B$7),0,IF(IFERROR(MATCH(B437,Start!A$253:A$273,0),0)&gt;0,VLOOKUP(B437,Start!A$253:F$273,3,FALSE)/100*Start!$B$4,VLOOKUP(WEEKDAY(B437,2),Start!A$240:F$246,4,FALSE))),"")</f>
        <v/>
      </c>
      <c r="D437" t="str">
        <f>IFERROR(IF(OR(U437="Fri",U437="Ferie",U437="Syk",U437="Omsorg",B437&lt;Start!$F$7),0,IF(IFERROR(MATCH(B437,Start!A$253:A$273,0),0)&gt;0,VLOOKUP(B437,Start!A$253:F$273,3,FALSE)/100*Start!$F$4,VLOOKUP(WEEKDAY(B437,2),Start!A$240:F$246,6,FALSE))),"")</f>
        <v/>
      </c>
      <c r="E437">
        <f t="shared" ca="1" si="481"/>
        <v>0</v>
      </c>
      <c r="F437">
        <f>IFERROR(IF(YEAR(B437)=Start!$B$1,MONTH(B437),""),"")</f>
        <v>9</v>
      </c>
      <c r="G437" s="64" t="str">
        <f>IFERROR(VLOOKUP(B437,Start!A$111:B$273,2,FALSE),"")</f>
        <v/>
      </c>
      <c r="H437" s="21"/>
      <c r="I437" s="78">
        <v>0.33333333333333331</v>
      </c>
      <c r="J437" s="78">
        <v>0.33333333333333331</v>
      </c>
      <c r="K437" s="1" t="str">
        <f>IF(Start!$B$6="Ja","",IF(((J437-I437)*24)&gt;=5.5,"X",""))</f>
        <v/>
      </c>
      <c r="L437" s="1" t="str">
        <f>IF(_xlfn.IFNA(MATCH($A435,Start!$H$3:$H$11,0),0)&gt;0,"Ferie",IFERROR(IF(VLOOKUP(B437,Start!A$165:B$234,2,FALSE)&gt;0,"Fri",0),IF(AND((J437-I437)=0,Z437=""),"",MAX((IF(K437="X",(J437-I437)*24-0.5,(J437-I437)*24)),Z437))))</f>
        <v/>
      </c>
      <c r="M437" s="58"/>
      <c r="N437" s="21" t="str">
        <f t="shared" si="495"/>
        <v/>
      </c>
      <c r="O437" s="21" t="str">
        <f t="shared" si="496"/>
        <v/>
      </c>
      <c r="P437" s="2"/>
      <c r="Q437" s="21"/>
      <c r="R437" s="78">
        <v>0.33333333333333331</v>
      </c>
      <c r="S437" s="78">
        <v>0.33333333333333331</v>
      </c>
      <c r="T437" s="1" t="str">
        <f>IF(Start!$B$6="Ja","",IF(((S437-R437)*24)&gt;=5.5,"X",""))</f>
        <v/>
      </c>
      <c r="U437" s="1" t="str">
        <f>IF(_xlfn.IFNA(MATCH($A$15,Start!$H$3:$H$11,0),0)&gt;0,"Ferie",(IF(L437="fri","Fri",(IF(L437="syk","Syk",IF(L437="Ferie","Ferie",IF(AND((S437-R437)=0,AB437=""),"",MAX((IF(T437="X",(S437-R437)*24-0.5,(S437-R437)*24)),AB437))))))))</f>
        <v/>
      </c>
      <c r="V437" s="58"/>
      <c r="W437" s="21" t="str">
        <f t="shared" si="497"/>
        <v/>
      </c>
      <c r="X437" s="21" t="str">
        <f t="shared" si="498"/>
        <v/>
      </c>
      <c r="Z437" s="70" t="str">
        <f>IF(SUMIFS(TrackingTime!H:H,TrackingTime!F:F,Timer!B437,TrackingTime!C:C,"Hovedkontoret")&gt;0,SUMIFS(TrackingTime!H:H,TrackingTime!F:F,Timer!B437,TrackingTime!C:C,"Hovedkontoret"),"")</f>
        <v/>
      </c>
      <c r="AA437" s="71" t="str">
        <f t="shared" si="456"/>
        <v/>
      </c>
      <c r="AB437" t="str">
        <f>IF(SUMIFS(TrackingTime!H:H,TrackingTime!F:F,Timer!B437,TrackingTime!C:C,Start!$F$3)&gt;0,SUMIFS(TrackingTime!H:H,TrackingTime!F:F,Timer!B437,TrackingTime!C:C,Start!$F$3),"")</f>
        <v/>
      </c>
      <c r="AC437" s="71" t="str">
        <f t="shared" si="458"/>
        <v/>
      </c>
    </row>
    <row r="438" spans="1:29" x14ac:dyDescent="0.25">
      <c r="A438" s="15"/>
      <c r="B438" s="63">
        <f t="shared" si="499"/>
        <v>46268</v>
      </c>
      <c r="C438" t="str">
        <f>IFERROR(IF(OR(L438="Fri",L438="Ferie",L438="Syk",L438="Omsorg",B438&lt;Start!$B$7),0,IF(IFERROR(MATCH(B438,Start!A$253:A$273,0),0)&gt;0,VLOOKUP(B438,Start!A$253:F$273,3,FALSE)/100*Start!$B$4,VLOOKUP(WEEKDAY(B438,2),Start!A$240:F$246,4,FALSE))),"")</f>
        <v/>
      </c>
      <c r="D438" t="str">
        <f>IFERROR(IF(OR(U438="Fri",U438="Ferie",U438="Syk",U438="Omsorg",B438&lt;Start!$F$7),0,IF(IFERROR(MATCH(B438,Start!A$253:A$273,0),0)&gt;0,VLOOKUP(B438,Start!A$253:F$273,3,FALSE)/100*Start!$F$4,VLOOKUP(WEEKDAY(B438,2),Start!A$240:F$246,6,FALSE))),"")</f>
        <v/>
      </c>
      <c r="E438">
        <f t="shared" ca="1" si="481"/>
        <v>0</v>
      </c>
      <c r="F438">
        <f>IFERROR(IF(YEAR(B438)=Start!$B$1,MONTH(B438),""),"")</f>
        <v>9</v>
      </c>
      <c r="G438" s="64" t="str">
        <f>IFERROR(VLOOKUP(B438,Start!A$111:B$273,2,FALSE),"")</f>
        <v/>
      </c>
      <c r="H438" s="21"/>
      <c r="I438" s="78">
        <v>0.33333333333333331</v>
      </c>
      <c r="J438" s="78">
        <v>0.33333333333333331</v>
      </c>
      <c r="K438" s="1" t="str">
        <f>IF(Start!$B$6="Ja","",IF(((J438-I438)*24)&gt;=5.5,"X",""))</f>
        <v/>
      </c>
      <c r="L438" s="1" t="str">
        <f>IF(_xlfn.IFNA(MATCH($A435,Start!$H$3:$H$11,0),0)&gt;0,"Ferie",IFERROR(IF(VLOOKUP(B438,Start!A$165:B$234,2,FALSE)&gt;0,"Fri",0),IF(AND((J438-I438)=0,Z438=""),"",MAX((IF(K438="X",(J438-I438)*24-0.5,(J438-I438)*24)),Z438))))</f>
        <v/>
      </c>
      <c r="M438" s="58"/>
      <c r="N438" s="21" t="str">
        <f t="shared" si="495"/>
        <v/>
      </c>
      <c r="O438" s="21" t="str">
        <f t="shared" si="496"/>
        <v/>
      </c>
      <c r="P438" s="2"/>
      <c r="Q438" s="21"/>
      <c r="R438" s="78">
        <v>0.33333333333333331</v>
      </c>
      <c r="S438" s="78">
        <v>0.33333333333333331</v>
      </c>
      <c r="T438" s="1" t="str">
        <f>IF(Start!$B$6="Ja","",IF(((S438-R438)*24)&gt;=5.5,"X",""))</f>
        <v/>
      </c>
      <c r="U438" s="1" t="str">
        <f>IF(_xlfn.IFNA(MATCH($A$15,Start!$H$3:$H$11,0),0)&gt;0,"Ferie",(IF(L438="fri","Fri",(IF(L438="syk","Syk",IF(L438="Ferie","Ferie",IF(AND((S438-R438)=0,AB438=""),"",MAX((IF(T438="X",(S438-R438)*24-0.5,(S438-R438)*24)),AB438))))))))</f>
        <v/>
      </c>
      <c r="V438" s="58"/>
      <c r="W438" s="21" t="str">
        <f t="shared" si="497"/>
        <v/>
      </c>
      <c r="X438" s="21" t="str">
        <f t="shared" si="498"/>
        <v/>
      </c>
      <c r="Z438" s="70" t="str">
        <f>IF(SUMIFS(TrackingTime!H:H,TrackingTime!F:F,Timer!B438,TrackingTime!C:C,"Hovedkontoret")&gt;0,SUMIFS(TrackingTime!H:H,TrackingTime!F:F,Timer!B438,TrackingTime!C:C,"Hovedkontoret"),"")</f>
        <v/>
      </c>
      <c r="AA438" s="71" t="str">
        <f t="shared" si="456"/>
        <v/>
      </c>
      <c r="AB438" t="str">
        <f>IF(SUMIFS(TrackingTime!H:H,TrackingTime!F:F,Timer!B438,TrackingTime!C:C,Start!$F$3)&gt;0,SUMIFS(TrackingTime!H:H,TrackingTime!F:F,Timer!B438,TrackingTime!C:C,Start!$F$3),"")</f>
        <v/>
      </c>
      <c r="AC438" s="71" t="str">
        <f t="shared" si="458"/>
        <v/>
      </c>
    </row>
    <row r="439" spans="1:29" x14ac:dyDescent="0.25">
      <c r="A439" s="15"/>
      <c r="B439" s="63">
        <f t="shared" si="499"/>
        <v>46269</v>
      </c>
      <c r="C439" t="str">
        <f>IFERROR(IF(OR(L439="Fri",L439="Ferie",L439="Syk",L439="Omsorg",B439&lt;Start!$B$7),0,IF(IFERROR(MATCH(B439,Start!A$253:A$273,0),0)&gt;0,VLOOKUP(B439,Start!A$253:F$273,3,FALSE)/100*Start!$B$4,VLOOKUP(WEEKDAY(B439,2),Start!A$240:F$246,4,FALSE))),"")</f>
        <v/>
      </c>
      <c r="D439" t="str">
        <f>IFERROR(IF(OR(U439="Fri",U439="Ferie",U439="Syk",U439="Omsorg",B439&lt;Start!$F$7),0,IF(IFERROR(MATCH(B439,Start!A$253:A$273,0),0)&gt;0,VLOOKUP(B439,Start!A$253:F$273,3,FALSE)/100*Start!$F$4,VLOOKUP(WEEKDAY(B439,2),Start!A$240:F$246,6,FALSE))),"")</f>
        <v/>
      </c>
      <c r="E439">
        <f t="shared" ca="1" si="481"/>
        <v>0</v>
      </c>
      <c r="F439">
        <f>IFERROR(IF(YEAR(B439)=Start!$B$1,MONTH(B439),""),"")</f>
        <v>9</v>
      </c>
      <c r="G439" s="64" t="str">
        <f>IFERROR(VLOOKUP(B439,Start!A$111:B$273,2,FALSE),"")</f>
        <v/>
      </c>
      <c r="H439" s="21"/>
      <c r="I439" s="78">
        <v>0.33333333333333331</v>
      </c>
      <c r="J439" s="78">
        <v>0.33333333333333331</v>
      </c>
      <c r="K439" s="1" t="str">
        <f>IF(Start!$B$6="Ja","",IF(((J439-I439)*24)&gt;=5.5,"X",""))</f>
        <v/>
      </c>
      <c r="L439" s="1" t="str">
        <f>IF(_xlfn.IFNA(MATCH($A435,Start!$H$3:$H$11,0),0)&gt;0,"Ferie",IFERROR(IF(VLOOKUP(B439,Start!A$165:B$234,2,FALSE)&gt;0,"Fri",0),IF(AND((J439-I439)=0,Z439=""),"",MAX((IF(K439="X",(J439-I439)*24-0.5,(J439-I439)*24)),Z439))))</f>
        <v/>
      </c>
      <c r="M439" s="58"/>
      <c r="N439" s="21" t="str">
        <f t="shared" si="495"/>
        <v/>
      </c>
      <c r="O439" s="21" t="str">
        <f t="shared" si="496"/>
        <v/>
      </c>
      <c r="P439" s="2"/>
      <c r="Q439" s="21"/>
      <c r="R439" s="78">
        <v>0.33333333333333331</v>
      </c>
      <c r="S439" s="78">
        <v>0.33333333333333331</v>
      </c>
      <c r="T439" s="1" t="str">
        <f>IF(Start!$B$6="Ja","",IF(((S439-R439)*24)&gt;=5.5,"X",""))</f>
        <v/>
      </c>
      <c r="U439" s="1" t="str">
        <f>IF(_xlfn.IFNA(MATCH($A$15,Start!$H$3:$H$11,0),0)&gt;0,"Ferie",(IF(L439="fri","Fri",(IF(L439="syk","Syk",IF(L439="Ferie","Ferie",IF(AND((S439-R439)=0,AB439=""),"",MAX((IF(T439="X",(S439-R439)*24-0.5,(S439-R439)*24)),AB439))))))))</f>
        <v/>
      </c>
      <c r="V439" s="58"/>
      <c r="W439" s="21" t="str">
        <f t="shared" si="497"/>
        <v/>
      </c>
      <c r="X439" s="21" t="str">
        <f t="shared" si="498"/>
        <v/>
      </c>
      <c r="Z439" s="70" t="str">
        <f>IF(SUMIFS(TrackingTime!H:H,TrackingTime!F:F,Timer!B439,TrackingTime!C:C,"Hovedkontoret")&gt;0,SUMIFS(TrackingTime!H:H,TrackingTime!F:F,Timer!B439,TrackingTime!C:C,"Hovedkontoret"),"")</f>
        <v/>
      </c>
      <c r="AA439" s="71" t="str">
        <f t="shared" si="456"/>
        <v/>
      </c>
      <c r="AB439" t="str">
        <f>IF(SUMIFS(TrackingTime!H:H,TrackingTime!F:F,Timer!B439,TrackingTime!C:C,Start!$F$3)&gt;0,SUMIFS(TrackingTime!H:H,TrackingTime!F:F,Timer!B439,TrackingTime!C:C,Start!$F$3),"")</f>
        <v/>
      </c>
      <c r="AC439" s="71" t="str">
        <f t="shared" si="458"/>
        <v/>
      </c>
    </row>
    <row r="440" spans="1:29" x14ac:dyDescent="0.25">
      <c r="A440" s="15"/>
      <c r="B440" s="63">
        <f t="shared" si="499"/>
        <v>46270</v>
      </c>
      <c r="C440">
        <f>IFERROR(IF(OR(L440="Fri",L440="Ferie",L440="Syk",L440="Omsorg",B440&lt;Start!$B$7),0,IF(IFERROR(MATCH(B440,Start!A$253:A$273,0),0)&gt;0,VLOOKUP(B440,Start!A$253:F$273,3,FALSE)/100*Start!$B$4,VLOOKUP(WEEKDAY(B440,2),Start!A$240:F$246,4,FALSE))),"")</f>
        <v>0</v>
      </c>
      <c r="D440">
        <f>IFERROR(IF(OR(U440="Fri",U440="Ferie",U440="Syk",U440="Omsorg",B440&lt;Start!$F$7),0,IF(IFERROR(MATCH(B440,Start!A$253:A$273,0),0)&gt;0,VLOOKUP(B440,Start!A$253:F$273,3,FALSE)/100*Start!$F$4,VLOOKUP(WEEKDAY(B440,2),Start!A$240:F$246,6,FALSE))),"")</f>
        <v>0</v>
      </c>
      <c r="E440">
        <f t="shared" ca="1" si="481"/>
        <v>0</v>
      </c>
      <c r="F440">
        <f>IFERROR(IF(YEAR(B440)=Start!$B$1,MONTH(B440),""),"")</f>
        <v>9</v>
      </c>
      <c r="G440" s="64" t="str">
        <f>IFERROR(VLOOKUP(B440,Start!A$111:B$273,2,FALSE),"")</f>
        <v/>
      </c>
      <c r="H440" s="21"/>
      <c r="I440" s="78">
        <v>0.41666666666666669</v>
      </c>
      <c r="J440" s="78">
        <v>0.41666666666666669</v>
      </c>
      <c r="K440" s="1" t="str">
        <f>IF(Start!$B$6="Ja","",IF(((J440-I440)*24)&gt;=5.5,"X",""))</f>
        <v/>
      </c>
      <c r="L440" s="1" t="str">
        <f t="shared" ref="L440:L441" si="500">IF(AND((J440-I440)=0,Z440=""),"",MAX((IF(K440="X",(J440-I440)*24-0.5,(J440-I440)*24)),Z440))</f>
        <v/>
      </c>
      <c r="M440" s="58"/>
      <c r="N440" s="21" t="str">
        <f t="shared" si="495"/>
        <v/>
      </c>
      <c r="O440" s="21" t="str">
        <f t="shared" si="496"/>
        <v/>
      </c>
      <c r="P440" s="2"/>
      <c r="Q440" s="21"/>
      <c r="R440" s="78">
        <v>0.41666666666666669</v>
      </c>
      <c r="S440" s="78">
        <v>0.41666666666666669</v>
      </c>
      <c r="T440" s="1" t="str">
        <f>IF(Start!$B$6="Ja","",IF(((S440-R440)*24)&gt;=5.5,"X",""))</f>
        <v/>
      </c>
      <c r="U440" s="1" t="str">
        <f t="shared" ref="U440:U441" si="501">IF(AND((S440-R440)=0,AB440=""),"",MAX((IF(T440="X",(S440-R440)*24-0.5,(S440-R440)*24)),AB440))</f>
        <v/>
      </c>
      <c r="V440" s="58"/>
      <c r="W440" s="21" t="str">
        <f t="shared" si="497"/>
        <v/>
      </c>
      <c r="X440" s="21" t="str">
        <f t="shared" si="498"/>
        <v/>
      </c>
      <c r="Z440" s="70" t="str">
        <f>IF(SUMIFS(TrackingTime!H:H,TrackingTime!F:F,Timer!B440,TrackingTime!C:C,"Hovedkontoret")&gt;0,SUMIFS(TrackingTime!H:H,TrackingTime!F:F,Timer!B440,TrackingTime!C:C,"Hovedkontoret"),"")</f>
        <v/>
      </c>
      <c r="AA440" s="71" t="str">
        <f t="shared" si="456"/>
        <v/>
      </c>
      <c r="AB440" t="str">
        <f>IF(SUMIFS(TrackingTime!H:H,TrackingTime!F:F,Timer!B440,TrackingTime!C:C,Start!$F$3)&gt;0,SUMIFS(TrackingTime!H:H,TrackingTime!F:F,Timer!B440,TrackingTime!C:C,Start!$F$3),"")</f>
        <v/>
      </c>
      <c r="AC440" s="71" t="str">
        <f t="shared" si="458"/>
        <v/>
      </c>
    </row>
    <row r="441" spans="1:29" x14ac:dyDescent="0.25">
      <c r="A441" s="15"/>
      <c r="B441" s="63">
        <f t="shared" si="499"/>
        <v>46271</v>
      </c>
      <c r="C441">
        <f>IFERROR(IF(OR(L441="Fri",L441="Ferie",L441="Syk",L441="Omsorg",B441&lt;Start!$B$7),0,IF(IFERROR(MATCH(B441,Start!A$253:A$273,0),0)&gt;0,VLOOKUP(B441,Start!A$253:F$273,3,FALSE)/100*Start!$B$4,VLOOKUP(WEEKDAY(B441,2),Start!A$240:F$246,4,FALSE))),"")</f>
        <v>0</v>
      </c>
      <c r="D441">
        <f>IFERROR(IF(OR(U441="Fri",U441="Ferie",U441="Syk",U441="Omsorg",B441&lt;Start!$F$7),0,IF(IFERROR(MATCH(B441,Start!A$253:A$273,0),0)&gt;0,VLOOKUP(B441,Start!A$253:F$273,3,FALSE)/100*Start!$F$4,VLOOKUP(WEEKDAY(B441,2),Start!A$240:F$246,6,FALSE))),"")</f>
        <v>0</v>
      </c>
      <c r="E441">
        <f t="shared" ca="1" si="481"/>
        <v>0</v>
      </c>
      <c r="F441">
        <f>IFERROR(IF(YEAR(B441)=Start!$B$1,MONTH(B441),""),"")</f>
        <v>9</v>
      </c>
      <c r="G441" s="64" t="str">
        <f>IFERROR(VLOOKUP(B441,Start!A$111:B$273,2,FALSE),"")</f>
        <v/>
      </c>
      <c r="H441" s="25"/>
      <c r="I441" s="78">
        <v>0.41666666666666669</v>
      </c>
      <c r="J441" s="78">
        <v>0.41666666666666669</v>
      </c>
      <c r="K441" s="1" t="str">
        <f>IF(Start!$B$6="Ja","",IF(((J441-I441)*24)&gt;=5.5,"X",""))</f>
        <v/>
      </c>
      <c r="L441" s="1" t="str">
        <f t="shared" si="500"/>
        <v/>
      </c>
      <c r="M441" s="58"/>
      <c r="N441" s="21" t="str">
        <f t="shared" si="495"/>
        <v/>
      </c>
      <c r="O441" s="21" t="str">
        <f t="shared" si="496"/>
        <v/>
      </c>
      <c r="Q441" s="25"/>
      <c r="R441" s="78">
        <v>0.41666666666666669</v>
      </c>
      <c r="S441" s="78">
        <v>0.41666666666666669</v>
      </c>
      <c r="T441" s="1" t="str">
        <f>IF(Start!$B$6="Ja","",IF(((S441-R441)*24)&gt;=5.5,"X",""))</f>
        <v/>
      </c>
      <c r="U441" s="1" t="str">
        <f t="shared" si="501"/>
        <v/>
      </c>
      <c r="V441" s="58"/>
      <c r="W441" s="21" t="str">
        <f t="shared" si="497"/>
        <v/>
      </c>
      <c r="X441" s="21" t="str">
        <f t="shared" si="498"/>
        <v/>
      </c>
      <c r="Z441" s="70" t="str">
        <f>IF(SUMIFS(TrackingTime!H:H,TrackingTime!F:F,Timer!B441,TrackingTime!C:C,"Hovedkontoret")&gt;0,SUMIFS(TrackingTime!H:H,TrackingTime!F:F,Timer!B441,TrackingTime!C:C,"Hovedkontoret"),"")</f>
        <v/>
      </c>
      <c r="AA441" s="71" t="str">
        <f t="shared" si="456"/>
        <v/>
      </c>
      <c r="AB441" t="str">
        <f>IF(SUMIFS(TrackingTime!H:H,TrackingTime!F:F,Timer!B441,TrackingTime!C:C,Start!$F$3)&gt;0,SUMIFS(TrackingTime!H:H,TrackingTime!F:F,Timer!B441,TrackingTime!C:C,Start!$F$3),"")</f>
        <v/>
      </c>
      <c r="AC441" s="71" t="str">
        <f t="shared" si="458"/>
        <v/>
      </c>
    </row>
    <row r="442" spans="1:29" x14ac:dyDescent="0.25">
      <c r="A442" s="15"/>
      <c r="B442" s="4" t="s">
        <v>11</v>
      </c>
      <c r="C442" s="24"/>
      <c r="D442" s="24"/>
      <c r="E442" s="24">
        <f t="shared" ca="1" si="481"/>
        <v>0</v>
      </c>
      <c r="F442" s="24" t="str">
        <f>IFERROR(IF(YEAR(B442)=Start!$B$1,MONTH(B442),""),"")</f>
        <v/>
      </c>
      <c r="G442" s="64" t="str">
        <f>IFERROR(VLOOKUP(B442,Start!A$111:B$273,2,FALSE),"")</f>
        <v/>
      </c>
      <c r="H442" s="4"/>
      <c r="I442" s="4"/>
      <c r="J442" s="4"/>
      <c r="K442" s="4"/>
      <c r="L442" s="5">
        <f t="shared" si="430"/>
        <v>0</v>
      </c>
      <c r="N442" s="24"/>
      <c r="O442" s="39">
        <f t="shared" ref="O442" si="502">SUM(O435:O441)</f>
        <v>0</v>
      </c>
      <c r="P442" s="40"/>
      <c r="Q442" s="41"/>
      <c r="R442" s="4"/>
      <c r="S442" s="4"/>
      <c r="T442" s="4"/>
      <c r="U442" s="5">
        <f t="shared" ref="U442" si="503">SUM($U435:$U441)</f>
        <v>0</v>
      </c>
      <c r="V442" s="58"/>
      <c r="W442" s="39"/>
      <c r="X442" s="39">
        <f t="shared" si="463"/>
        <v>0</v>
      </c>
      <c r="Z442" s="70" t="str">
        <f>IF(SUMIFS(TrackingTime!H:H,TrackingTime!F:F,Timer!B442,TrackingTime!C:C,"Hovedkontoret")&gt;0,SUMIFS(TrackingTime!H:H,TrackingTime!F:F,Timer!B442,TrackingTime!C:C,"Hovedkontoret"),"")</f>
        <v/>
      </c>
      <c r="AA442" s="71" t="str">
        <f t="shared" si="456"/>
        <v/>
      </c>
      <c r="AB442" t="str">
        <f>IF(SUMIFS(TrackingTime!H:H,TrackingTime!F:F,Timer!B442,TrackingTime!C:C,Start!$F$3)&gt;0,SUMIFS(TrackingTime!H:H,TrackingTime!F:F,Timer!B442,TrackingTime!C:C,Start!$F$3),"")</f>
        <v/>
      </c>
      <c r="AC442" s="71" t="str">
        <f t="shared" si="458"/>
        <v/>
      </c>
    </row>
    <row r="443" spans="1:29" x14ac:dyDescent="0.25">
      <c r="A443" s="15"/>
      <c r="B443" t="s">
        <v>90</v>
      </c>
      <c r="E443">
        <f t="shared" ca="1" si="481"/>
        <v>0</v>
      </c>
      <c r="F443" t="str">
        <f>IFERROR(IF(YEAR(B443)=Start!$B$1,MONTH(B443),""),"")</f>
        <v/>
      </c>
      <c r="G443" s="64" t="str">
        <f>IFERROR(VLOOKUP(B443,Start!A$111:B$273,2,FALSE),"")</f>
        <v/>
      </c>
      <c r="L443" s="1">
        <f t="shared" si="433"/>
        <v>0</v>
      </c>
      <c r="M443" s="1"/>
      <c r="N443" s="1"/>
      <c r="O443" s="21">
        <f t="shared" ref="O443" si="504">L443</f>
        <v>0</v>
      </c>
      <c r="P443" s="40"/>
      <c r="Q443" s="21"/>
      <c r="U443" s="1">
        <f t="shared" ref="U443" si="505">SUMIFS(D435:D441,F435:F441,"&gt;0")</f>
        <v>0</v>
      </c>
      <c r="V443" s="1"/>
      <c r="W443" s="1"/>
      <c r="X443" s="21">
        <f>U443</f>
        <v>0</v>
      </c>
      <c r="Z443" s="70" t="str">
        <f>IF(SUMIFS(TrackingTime!H:H,TrackingTime!F:F,Timer!B443,TrackingTime!C:C,"Hovedkontoret")&gt;0,SUMIFS(TrackingTime!H:H,TrackingTime!F:F,Timer!B443,TrackingTime!C:C,"Hovedkontoret"),"")</f>
        <v/>
      </c>
      <c r="AA443" s="71" t="str">
        <f t="shared" si="456"/>
        <v/>
      </c>
      <c r="AB443" t="str">
        <f>IF(SUMIFS(TrackingTime!H:H,TrackingTime!F:F,Timer!B443,TrackingTime!C:C,Start!$F$3)&gt;0,SUMIFS(TrackingTime!H:H,TrackingTime!F:F,Timer!B443,TrackingTime!C:C,Start!$F$3),"")</f>
        <v/>
      </c>
      <c r="AC443" s="71" t="str">
        <f t="shared" si="458"/>
        <v/>
      </c>
    </row>
    <row r="444" spans="1:29" x14ac:dyDescent="0.25">
      <c r="A444" s="16">
        <f>B441-B435-1</f>
        <v>5</v>
      </c>
      <c r="B444" t="s">
        <v>117</v>
      </c>
      <c r="E444">
        <f t="shared" ca="1" si="481"/>
        <v>0</v>
      </c>
      <c r="F444" t="str">
        <f>IFERROR(IF(YEAR(B444)=Start!$B$1,MONTH(B444),""),"")</f>
        <v/>
      </c>
      <c r="G444" s="64" t="str">
        <f>IFERROR(VLOOKUP(B444,Start!A$111:B$273,2,FALSE),"")</f>
        <v/>
      </c>
      <c r="L444" s="77">
        <f t="shared" ca="1" si="436"/>
        <v>0</v>
      </c>
      <c r="O444" s="21">
        <f t="shared" ref="O444" si="506">O442-O443</f>
        <v>0</v>
      </c>
      <c r="P444" s="21"/>
      <c r="Q444" s="21"/>
      <c r="U444" s="1">
        <f t="shared" ref="U444" ca="1" si="507">U442-U443*(IF(NETWORKDAYS($B435,TODAY())&lt;0,0,IF(NETWORKDAYS($B435,TODAY())&lt;=$A444,NETWORKDAYS($B435,TODAY()),$A444)))/$A444</f>
        <v>0</v>
      </c>
      <c r="V444" s="58"/>
      <c r="W444" s="21"/>
      <c r="X444" s="21">
        <f>X442-X443</f>
        <v>0</v>
      </c>
      <c r="Z444" s="70" t="str">
        <f>IF(SUMIFS(TrackingTime!H:H,TrackingTime!F:F,Timer!B444,TrackingTime!C:C,"Hovedkontoret")&gt;0,SUMIFS(TrackingTime!H:H,TrackingTime!F:F,Timer!B444,TrackingTime!C:C,"Hovedkontoret"),"")</f>
        <v/>
      </c>
      <c r="AA444" s="71" t="str">
        <f t="shared" si="456"/>
        <v/>
      </c>
      <c r="AB444" t="str">
        <f>IF(SUMIFS(TrackingTime!H:H,TrackingTime!F:F,Timer!B444,TrackingTime!C:C,Start!$F$3)&gt;0,SUMIFS(TrackingTime!H:H,TrackingTime!F:F,Timer!B444,TrackingTime!C:C,Start!$F$3),"")</f>
        <v/>
      </c>
      <c r="AC444" s="71" t="str">
        <f t="shared" si="458"/>
        <v/>
      </c>
    </row>
    <row r="445" spans="1:29" x14ac:dyDescent="0.25">
      <c r="A445" s="15"/>
      <c r="E445">
        <f t="shared" ca="1" si="481"/>
        <v>1</v>
      </c>
      <c r="F445" t="str">
        <f>IFERROR(IF(YEAR(B445)=Start!$B$1,MONTH(B445),""),"")</f>
        <v/>
      </c>
      <c r="G445" s="64" t="str">
        <f>IFERROR(VLOOKUP(B445,Start!A$111:B$273,2,FALSE),"")</f>
        <v/>
      </c>
      <c r="O445" s="2"/>
      <c r="P445" s="2"/>
      <c r="U445" s="1"/>
      <c r="V445" s="7"/>
      <c r="X445" s="2"/>
      <c r="Z445" s="70" t="str">
        <f>IF(SUMIFS(TrackingTime!H:H,TrackingTime!F:F,Timer!B445,TrackingTime!C:C,"Hovedkontoret")&gt;0,SUMIFS(TrackingTime!H:H,TrackingTime!F:F,Timer!B445,TrackingTime!C:C,"Hovedkontoret"),"")</f>
        <v/>
      </c>
      <c r="AA445" s="71" t="str">
        <f t="shared" si="456"/>
        <v/>
      </c>
      <c r="AB445" t="str">
        <f>IF(SUMIFS(TrackingTime!H:H,TrackingTime!F:F,Timer!B445,TrackingTime!C:C,Start!$F$3)&gt;0,SUMIFS(TrackingTime!H:H,TrackingTime!F:F,Timer!B445,TrackingTime!C:C,Start!$F$3),"")</f>
        <v/>
      </c>
      <c r="AC445" s="71" t="str">
        <f t="shared" si="458"/>
        <v/>
      </c>
    </row>
    <row r="446" spans="1:29" x14ac:dyDescent="0.25">
      <c r="A446" s="2" t="s">
        <v>82</v>
      </c>
      <c r="B446" s="14" t="s">
        <v>83</v>
      </c>
      <c r="E446">
        <f t="shared" ca="1" si="481"/>
        <v>0</v>
      </c>
      <c r="F446" t="str">
        <f>IFERROR(IF(YEAR(B446)=Start!$B$1,MONTH(B446),""),"")</f>
        <v/>
      </c>
      <c r="G446" s="64" t="str">
        <f>IFERROR(VLOOKUP(B446,Start!A$111:B$273,2,FALSE),"")</f>
        <v/>
      </c>
      <c r="H446" s="2" t="s">
        <v>86</v>
      </c>
      <c r="I446" s="2" t="s">
        <v>125</v>
      </c>
      <c r="J446" s="2" t="s">
        <v>126</v>
      </c>
      <c r="K446" s="2" t="s">
        <v>127</v>
      </c>
      <c r="L446" s="3" t="s">
        <v>87</v>
      </c>
      <c r="M446" s="6"/>
      <c r="N446" s="2" t="s">
        <v>88</v>
      </c>
      <c r="O446" s="2" t="s">
        <v>89</v>
      </c>
      <c r="P446" s="2"/>
      <c r="Q446" s="2" t="s">
        <v>86</v>
      </c>
      <c r="R446" s="2" t="s">
        <v>125</v>
      </c>
      <c r="S446" s="2" t="s">
        <v>126</v>
      </c>
      <c r="T446" s="2" t="s">
        <v>127</v>
      </c>
      <c r="U446" s="3" t="s">
        <v>87</v>
      </c>
      <c r="V446" s="6"/>
      <c r="W446" s="2" t="s">
        <v>88</v>
      </c>
      <c r="X446" s="2" t="s">
        <v>89</v>
      </c>
      <c r="Z446" s="70" t="str">
        <f>IF(SUMIFS(TrackingTime!H:H,TrackingTime!F:F,Timer!B446,TrackingTime!C:C,"Hovedkontoret")&gt;0,SUMIFS(TrackingTime!H:H,TrackingTime!F:F,Timer!B446,TrackingTime!C:C,"Hovedkontoret"),"")</f>
        <v/>
      </c>
      <c r="AA446" s="71" t="str">
        <f t="shared" si="456"/>
        <v/>
      </c>
      <c r="AB446" t="str">
        <f>IF(SUMIFS(TrackingTime!H:H,TrackingTime!F:F,Timer!B446,TrackingTime!C:C,Start!$F$3)&gt;0,SUMIFS(TrackingTime!H:H,TrackingTime!F:F,Timer!B446,TrackingTime!C:C,Start!$F$3),"")</f>
        <v/>
      </c>
      <c r="AC446" s="71" t="str">
        <f t="shared" si="458"/>
        <v/>
      </c>
    </row>
    <row r="447" spans="1:29" x14ac:dyDescent="0.25">
      <c r="A447" s="15">
        <f>WEEKNUM(B447,21)</f>
        <v>37</v>
      </c>
      <c r="B447" s="63">
        <f>B441+(DAY(1))</f>
        <v>46272</v>
      </c>
      <c r="C447" t="str">
        <f>IFERROR(IF(OR(L447="Fri",L447="Ferie",L447="Syk",L447="Omsorg",B447&lt;Start!$B$7),0,IF(IFERROR(MATCH(B447,Start!A$253:A$273,0),0)&gt;0,VLOOKUP(B447,Start!A$253:F$273,3,FALSE)/100*Start!$B$4,VLOOKUP(WEEKDAY(B447,2),Start!A$240:F$246,4,FALSE))),"")</f>
        <v/>
      </c>
      <c r="D447" t="str">
        <f>IFERROR(IF(OR(U447="Fri",U447="Ferie",U447="Syk",U447="Omsorg",B447&lt;Start!$F$7),0,IF(IFERROR(MATCH(B447,Start!A$253:A$273,0),0)&gt;0,VLOOKUP(B447,Start!A$253:F$273,3,FALSE)/100*Start!$F$4,VLOOKUP(WEEKDAY(B447,2),Start!A$240:F$246,6,FALSE))),"")</f>
        <v/>
      </c>
      <c r="E447">
        <f t="shared" ca="1" si="481"/>
        <v>0</v>
      </c>
      <c r="F447">
        <f>IFERROR(IF(YEAR(B447)=Start!$B$1,MONTH(B447),""),"")</f>
        <v>9</v>
      </c>
      <c r="G447" s="64" t="str">
        <f>IFERROR(VLOOKUP(B447,Start!A$111:B$273,2,FALSE),"")</f>
        <v/>
      </c>
      <c r="H447" s="21"/>
      <c r="I447" s="78">
        <v>0.33333333333333331</v>
      </c>
      <c r="J447" s="78">
        <v>0.33333333333333331</v>
      </c>
      <c r="K447" s="1" t="str">
        <f>IF(Start!$B$6="Ja","",IF(((J447-I447)*24)&gt;=5.5,"X",""))</f>
        <v/>
      </c>
      <c r="L447" s="1" t="str">
        <f>IF(_xlfn.IFNA(MATCH($A447,Start!$H$3:$H$11,0),0)&gt;0,"Ferie",IFERROR(IF(VLOOKUP(B447,Start!A$165:B$234,2,FALSE)&gt;0,"Fri",0),IF(AND((J447-I447)=0,Z447=""),"",MAX((IF(K447="X",(J447-I447)*24-0.5,(J447-I447)*24)),Z447))))</f>
        <v/>
      </c>
      <c r="M447" s="58"/>
      <c r="N447" s="21" t="str">
        <f t="shared" ref="N447:N453" si="508">IF(H447=0,"",H447)</f>
        <v/>
      </c>
      <c r="O447" s="21" t="str">
        <f t="shared" ref="O447:O453" si="509">IF(L447=0,"",L447)</f>
        <v/>
      </c>
      <c r="P447" s="2"/>
      <c r="Q447" s="21"/>
      <c r="R447" s="78">
        <v>0.33333333333333331</v>
      </c>
      <c r="S447" s="78">
        <v>0.33333333333333331</v>
      </c>
      <c r="T447" s="1" t="str">
        <f>IF(Start!$B$6="Ja","",IF(((S447-R447)*24)&gt;=5.5,"X",""))</f>
        <v/>
      </c>
      <c r="U447" s="1" t="str">
        <f>IF(_xlfn.IFNA(MATCH($A$15,Start!$H$3:$H$11,0),0)&gt;0,"Ferie",(IF(L447="fri","Fri",(IF(L447="syk","Syk",IF(L447="Ferie","Ferie",IF(AND((S447-R447)=0,AB447=""),"",MAX((IF(T447="X",(S447-R447)*24-0.5,(S447-R447)*24)),AB447))))))))</f>
        <v/>
      </c>
      <c r="V447" s="58"/>
      <c r="W447" s="21" t="str">
        <f t="shared" ref="W447:W453" si="510">IF(Q447=0,"",Q447)</f>
        <v/>
      </c>
      <c r="X447" s="21" t="str">
        <f t="shared" ref="X447:X453" si="511">IF(U447=0,"",U447)</f>
        <v/>
      </c>
      <c r="Z447" s="70" t="str">
        <f>IF(SUMIFS(TrackingTime!H:H,TrackingTime!F:F,Timer!B447,TrackingTime!C:C,"Hovedkontoret")&gt;0,SUMIFS(TrackingTime!H:H,TrackingTime!F:F,Timer!B447,TrackingTime!C:C,"Hovedkontoret"),"")</f>
        <v/>
      </c>
      <c r="AA447" s="71" t="str">
        <f t="shared" si="456"/>
        <v/>
      </c>
      <c r="AB447" t="str">
        <f>IF(SUMIFS(TrackingTime!H:H,TrackingTime!F:F,Timer!B447,TrackingTime!C:C,Start!$F$3)&gt;0,SUMIFS(TrackingTime!H:H,TrackingTime!F:F,Timer!B447,TrackingTime!C:C,Start!$F$3),"")</f>
        <v/>
      </c>
      <c r="AC447" s="71" t="str">
        <f t="shared" si="458"/>
        <v/>
      </c>
    </row>
    <row r="448" spans="1:29" x14ac:dyDescent="0.25">
      <c r="A448" s="15"/>
      <c r="B448" s="63">
        <f t="shared" ref="B448:B453" si="512">B447+DAY(1)</f>
        <v>46273</v>
      </c>
      <c r="C448" t="str">
        <f>IFERROR(IF(OR(L448="Fri",L448="Ferie",L448="Syk",L448="Omsorg",B448&lt;Start!$B$7),0,IF(IFERROR(MATCH(B448,Start!A$253:A$273,0),0)&gt;0,VLOOKUP(B448,Start!A$253:F$273,3,FALSE)/100*Start!$B$4,VLOOKUP(WEEKDAY(B448,2),Start!A$240:F$246,4,FALSE))),"")</f>
        <v/>
      </c>
      <c r="D448" t="str">
        <f>IFERROR(IF(OR(U448="Fri",U448="Ferie",U448="Syk",U448="Omsorg",B448&lt;Start!$F$7),0,IF(IFERROR(MATCH(B448,Start!A$253:A$273,0),0)&gt;0,VLOOKUP(B448,Start!A$253:F$273,3,FALSE)/100*Start!$F$4,VLOOKUP(WEEKDAY(B448,2),Start!A$240:F$246,6,FALSE))),"")</f>
        <v/>
      </c>
      <c r="E448">
        <f t="shared" ca="1" si="481"/>
        <v>0</v>
      </c>
      <c r="F448">
        <f>IFERROR(IF(YEAR(B448)=Start!$B$1,MONTH(B448),""),"")</f>
        <v>9</v>
      </c>
      <c r="G448" s="64" t="str">
        <f>IFERROR(VLOOKUP(B448,Start!A$111:B$273,2,FALSE),"")</f>
        <v/>
      </c>
      <c r="H448" s="21"/>
      <c r="I448" s="78">
        <v>0.33333333333333331</v>
      </c>
      <c r="J448" s="78">
        <v>0.33333333333333331</v>
      </c>
      <c r="K448" s="1" t="str">
        <f>IF(Start!$B$6="Ja","",IF(((J448-I448)*24)&gt;=5.5,"X",""))</f>
        <v/>
      </c>
      <c r="L448" s="1" t="str">
        <f>IF(_xlfn.IFNA(MATCH($A447,Start!$H$3:$H$11,0),0)&gt;0,"Ferie",IFERROR(IF(VLOOKUP($B448,Start!$A$165:$B$234,2,FALSE)&gt;0,"Fri",0),IF(AND((J448-I448)=0,Z448=""),"",MAX((IF(K448="X",(J448-I448)*24-0.5,(J448-I448)*24)),Z448))))</f>
        <v/>
      </c>
      <c r="M448" s="58"/>
      <c r="N448" s="21" t="str">
        <f t="shared" si="508"/>
        <v/>
      </c>
      <c r="O448" s="21" t="str">
        <f t="shared" si="509"/>
        <v/>
      </c>
      <c r="P448" s="2"/>
      <c r="Q448" s="21"/>
      <c r="R448" s="78">
        <v>0.33333333333333331</v>
      </c>
      <c r="S448" s="78">
        <v>0.33333333333333331</v>
      </c>
      <c r="T448" s="1" t="str">
        <f>IF(Start!$B$6="Ja","",IF(((S448-R448)*24)&gt;=5.5,"X",""))</f>
        <v/>
      </c>
      <c r="U448" s="1" t="str">
        <f>IF(_xlfn.IFNA(MATCH($A$15,Start!$H$3:$H$11,0),0)&gt;0,"Ferie",(IF(L448="fri","Fri",(IF(L448="syk","Syk",IF(L448="Ferie","Ferie",IF(AND((S448-R448)=0,AB448=""),"",MAX((IF(T448="X",(S448-R448)*24-0.5,(S448-R448)*24)),AB448))))))))</f>
        <v/>
      </c>
      <c r="V448" s="58"/>
      <c r="W448" s="21" t="str">
        <f t="shared" si="510"/>
        <v/>
      </c>
      <c r="X448" s="21" t="str">
        <f t="shared" si="511"/>
        <v/>
      </c>
      <c r="Z448" s="70" t="str">
        <f>IF(SUMIFS(TrackingTime!H:H,TrackingTime!F:F,Timer!B448,TrackingTime!C:C,"Hovedkontoret")&gt;0,SUMIFS(TrackingTime!H:H,TrackingTime!F:F,Timer!B448,TrackingTime!C:C,"Hovedkontoret"),"")</f>
        <v/>
      </c>
      <c r="AA448" s="71" t="str">
        <f t="shared" si="456"/>
        <v/>
      </c>
      <c r="AB448" t="str">
        <f>IF(SUMIFS(TrackingTime!H:H,TrackingTime!F:F,Timer!B448,TrackingTime!C:C,Start!$F$3)&gt;0,SUMIFS(TrackingTime!H:H,TrackingTime!F:F,Timer!B448,TrackingTime!C:C,Start!$F$3),"")</f>
        <v/>
      </c>
      <c r="AC448" s="71" t="str">
        <f t="shared" si="458"/>
        <v/>
      </c>
    </row>
    <row r="449" spans="1:29" x14ac:dyDescent="0.25">
      <c r="A449" s="15"/>
      <c r="B449" s="63">
        <f t="shared" si="512"/>
        <v>46274</v>
      </c>
      <c r="C449" t="str">
        <f>IFERROR(IF(OR(L449="Fri",L449="Ferie",L449="Syk",L449="Omsorg",B449&lt;Start!$B$7),0,IF(IFERROR(MATCH(B449,Start!A$253:A$273,0),0)&gt;0,VLOOKUP(B449,Start!A$253:F$273,3,FALSE)/100*Start!$B$4,VLOOKUP(WEEKDAY(B449,2),Start!A$240:F$246,4,FALSE))),"")</f>
        <v/>
      </c>
      <c r="D449" t="str">
        <f>IFERROR(IF(OR(U449="Fri",U449="Ferie",U449="Syk",U449="Omsorg",B449&lt;Start!$F$7),0,IF(IFERROR(MATCH(B449,Start!A$253:A$273,0),0)&gt;0,VLOOKUP(B449,Start!A$253:F$273,3,FALSE)/100*Start!$F$4,VLOOKUP(WEEKDAY(B449,2),Start!A$240:F$246,6,FALSE))),"")</f>
        <v/>
      </c>
      <c r="E449">
        <f t="shared" ca="1" si="481"/>
        <v>0</v>
      </c>
      <c r="F449">
        <f>IFERROR(IF(YEAR(B449)=Start!$B$1,MONTH(B449),""),"")</f>
        <v>9</v>
      </c>
      <c r="G449" s="64" t="str">
        <f>IFERROR(VLOOKUP(B449,Start!A$111:B$273,2,FALSE),"")</f>
        <v/>
      </c>
      <c r="H449" s="21"/>
      <c r="I449" s="78">
        <v>0.33333333333333331</v>
      </c>
      <c r="J449" s="78">
        <v>0.33333333333333331</v>
      </c>
      <c r="K449" s="1" t="str">
        <f>IF(Start!$B$6="Ja","",IF(((J449-I449)*24)&gt;=5.5,"X",""))</f>
        <v/>
      </c>
      <c r="L449" s="1" t="str">
        <f>IF(_xlfn.IFNA(MATCH($A447,Start!$H$3:$H$11,0),0)&gt;0,"Ferie",IFERROR(IF(VLOOKUP(B449,Start!A$165:B$234,2,FALSE)&gt;0,"Fri",0),IF(AND((J449-I449)=0,Z449=""),"",MAX((IF(K449="X",(J449-I449)*24-0.5,(J449-I449)*24)),Z449))))</f>
        <v/>
      </c>
      <c r="M449" s="58"/>
      <c r="N449" s="21" t="str">
        <f t="shared" si="508"/>
        <v/>
      </c>
      <c r="O449" s="21" t="str">
        <f t="shared" si="509"/>
        <v/>
      </c>
      <c r="P449" s="2"/>
      <c r="Q449" s="21"/>
      <c r="R449" s="78">
        <v>0.33333333333333331</v>
      </c>
      <c r="S449" s="78">
        <v>0.33333333333333331</v>
      </c>
      <c r="T449" s="1" t="str">
        <f>IF(Start!$B$6="Ja","",IF(((S449-R449)*24)&gt;=5.5,"X",""))</f>
        <v/>
      </c>
      <c r="U449" s="1" t="str">
        <f>IF(_xlfn.IFNA(MATCH($A$15,Start!$H$3:$H$11,0),0)&gt;0,"Ferie",(IF(L449="fri","Fri",(IF(L449="syk","Syk",IF(L449="Ferie","Ferie",IF(AND((S449-R449)=0,AB449=""),"",MAX((IF(T449="X",(S449-R449)*24-0.5,(S449-R449)*24)),AB449))))))))</f>
        <v/>
      </c>
      <c r="V449" s="58"/>
      <c r="W449" s="21" t="str">
        <f t="shared" si="510"/>
        <v/>
      </c>
      <c r="X449" s="21" t="str">
        <f t="shared" si="511"/>
        <v/>
      </c>
      <c r="Z449" s="70" t="str">
        <f>IF(SUMIFS(TrackingTime!H:H,TrackingTime!F:F,Timer!B449,TrackingTime!C:C,"Hovedkontoret")&gt;0,SUMIFS(TrackingTime!H:H,TrackingTime!F:F,Timer!B449,TrackingTime!C:C,"Hovedkontoret"),"")</f>
        <v/>
      </c>
      <c r="AA449" s="71" t="str">
        <f t="shared" si="456"/>
        <v/>
      </c>
      <c r="AB449" t="str">
        <f>IF(SUMIFS(TrackingTime!H:H,TrackingTime!F:F,Timer!B449,TrackingTime!C:C,Start!$F$3)&gt;0,SUMIFS(TrackingTime!H:H,TrackingTime!F:F,Timer!B449,TrackingTime!C:C,Start!$F$3),"")</f>
        <v/>
      </c>
      <c r="AC449" s="71" t="str">
        <f t="shared" si="458"/>
        <v/>
      </c>
    </row>
    <row r="450" spans="1:29" x14ac:dyDescent="0.25">
      <c r="A450" s="15"/>
      <c r="B450" s="63">
        <f t="shared" si="512"/>
        <v>46275</v>
      </c>
      <c r="C450" t="str">
        <f>IFERROR(IF(OR(L450="Fri",L450="Ferie",L450="Syk",L450="Omsorg",B450&lt;Start!$B$7),0,IF(IFERROR(MATCH(B450,Start!A$253:A$273,0),0)&gt;0,VLOOKUP(B450,Start!A$253:F$273,3,FALSE)/100*Start!$B$4,VLOOKUP(WEEKDAY(B450,2),Start!A$240:F$246,4,FALSE))),"")</f>
        <v/>
      </c>
      <c r="D450" t="str">
        <f>IFERROR(IF(OR(U450="Fri",U450="Ferie",U450="Syk",U450="Omsorg",B450&lt;Start!$F$7),0,IF(IFERROR(MATCH(B450,Start!A$253:A$273,0),0)&gt;0,VLOOKUP(B450,Start!A$253:F$273,3,FALSE)/100*Start!$F$4,VLOOKUP(WEEKDAY(B450,2),Start!A$240:F$246,6,FALSE))),"")</f>
        <v/>
      </c>
      <c r="E450">
        <f t="shared" ca="1" si="481"/>
        <v>0</v>
      </c>
      <c r="F450">
        <f>IFERROR(IF(YEAR(B450)=Start!$B$1,MONTH(B450),""),"")</f>
        <v>9</v>
      </c>
      <c r="G450" s="64" t="str">
        <f>IFERROR(VLOOKUP(B450,Start!A$111:B$273,2,FALSE),"")</f>
        <v/>
      </c>
      <c r="H450" s="21"/>
      <c r="I450" s="78">
        <v>0.33333333333333331</v>
      </c>
      <c r="J450" s="78">
        <v>0.33333333333333331</v>
      </c>
      <c r="K450" s="1" t="str">
        <f>IF(Start!$B$6="Ja","",IF(((J450-I450)*24)&gt;=5.5,"X",""))</f>
        <v/>
      </c>
      <c r="L450" s="1" t="str">
        <f>IF(_xlfn.IFNA(MATCH($A447,Start!$H$3:$H$11,0),0)&gt;0,"Ferie",IFERROR(IF(VLOOKUP(B450,Start!A$165:B$234,2,FALSE)&gt;0,"Fri",0),IF(AND((J450-I450)=0,Z450=""),"",MAX((IF(K450="X",(J450-I450)*24-0.5,(J450-I450)*24)),Z450))))</f>
        <v/>
      </c>
      <c r="M450" s="58"/>
      <c r="N450" s="21" t="str">
        <f t="shared" si="508"/>
        <v/>
      </c>
      <c r="O450" s="21" t="str">
        <f t="shared" si="509"/>
        <v/>
      </c>
      <c r="P450" s="2"/>
      <c r="Q450" s="21"/>
      <c r="R450" s="78">
        <v>0.33333333333333331</v>
      </c>
      <c r="S450" s="78">
        <v>0.33333333333333331</v>
      </c>
      <c r="T450" s="1" t="str">
        <f>IF(Start!$B$6="Ja","",IF(((S450-R450)*24)&gt;=5.5,"X",""))</f>
        <v/>
      </c>
      <c r="U450" s="1" t="str">
        <f>IF(_xlfn.IFNA(MATCH($A$15,Start!$H$3:$H$11,0),0)&gt;0,"Ferie",(IF(L450="fri","Fri",(IF(L450="syk","Syk",IF(L450="Ferie","Ferie",IF(AND((S450-R450)=0,AB450=""),"",MAX((IF(T450="X",(S450-R450)*24-0.5,(S450-R450)*24)),AB450))))))))</f>
        <v/>
      </c>
      <c r="V450" s="58"/>
      <c r="W450" s="21" t="str">
        <f t="shared" si="510"/>
        <v/>
      </c>
      <c r="X450" s="21" t="str">
        <f t="shared" si="511"/>
        <v/>
      </c>
      <c r="Z450" s="70" t="str">
        <f>IF(SUMIFS(TrackingTime!H:H,TrackingTime!F:F,Timer!B450,TrackingTime!C:C,"Hovedkontoret")&gt;0,SUMIFS(TrackingTime!H:H,TrackingTime!F:F,Timer!B450,TrackingTime!C:C,"Hovedkontoret"),"")</f>
        <v/>
      </c>
      <c r="AA450" s="71" t="str">
        <f t="shared" si="456"/>
        <v/>
      </c>
      <c r="AB450" t="str">
        <f>IF(SUMIFS(TrackingTime!H:H,TrackingTime!F:F,Timer!B450,TrackingTime!C:C,Start!$F$3)&gt;0,SUMIFS(TrackingTime!H:H,TrackingTime!F:F,Timer!B450,TrackingTime!C:C,Start!$F$3),"")</f>
        <v/>
      </c>
      <c r="AC450" s="71" t="str">
        <f t="shared" si="458"/>
        <v/>
      </c>
    </row>
    <row r="451" spans="1:29" x14ac:dyDescent="0.25">
      <c r="A451" s="15"/>
      <c r="B451" s="63">
        <f t="shared" si="512"/>
        <v>46276</v>
      </c>
      <c r="C451" t="str">
        <f>IFERROR(IF(OR(L451="Fri",L451="Ferie",L451="Syk",L451="Omsorg",B451&lt;Start!$B$7),0,IF(IFERROR(MATCH(B451,Start!A$253:A$273,0),0)&gt;0,VLOOKUP(B451,Start!A$253:F$273,3,FALSE)/100*Start!$B$4,VLOOKUP(WEEKDAY(B451,2),Start!A$240:F$246,4,FALSE))),"")</f>
        <v/>
      </c>
      <c r="D451" t="str">
        <f>IFERROR(IF(OR(U451="Fri",U451="Ferie",U451="Syk",U451="Omsorg",B451&lt;Start!$F$7),0,IF(IFERROR(MATCH(B451,Start!A$253:A$273,0),0)&gt;0,VLOOKUP(B451,Start!A$253:F$273,3,FALSE)/100*Start!$F$4,VLOOKUP(WEEKDAY(B451,2),Start!A$240:F$246,6,FALSE))),"")</f>
        <v/>
      </c>
      <c r="E451">
        <f t="shared" ca="1" si="481"/>
        <v>0</v>
      </c>
      <c r="F451">
        <f>IFERROR(IF(YEAR(B451)=Start!$B$1,MONTH(B451),""),"")</f>
        <v>9</v>
      </c>
      <c r="G451" s="64" t="str">
        <f>IFERROR(VLOOKUP(B451,Start!A$111:B$273,2,FALSE),"")</f>
        <v/>
      </c>
      <c r="H451" s="21"/>
      <c r="I451" s="78">
        <v>0.33333333333333331</v>
      </c>
      <c r="J451" s="78">
        <v>0.33333333333333331</v>
      </c>
      <c r="K451" s="1" t="str">
        <f>IF(Start!$B$6="Ja","",IF(((J451-I451)*24)&gt;=5.5,"X",""))</f>
        <v/>
      </c>
      <c r="L451" s="1" t="str">
        <f>IF(_xlfn.IFNA(MATCH($A447,Start!$H$3:$H$11,0),0)&gt;0,"Ferie",IFERROR(IF(VLOOKUP(B451,Start!A$165:B$234,2,FALSE)&gt;0,"Fri",0),IF(AND((J451-I451)=0,Z451=""),"",MAX((IF(K451="X",(J451-I451)*24-0.5,(J451-I451)*24)),Z451))))</f>
        <v/>
      </c>
      <c r="M451" s="58"/>
      <c r="N451" s="21" t="str">
        <f t="shared" si="508"/>
        <v/>
      </c>
      <c r="O451" s="21" t="str">
        <f t="shared" si="509"/>
        <v/>
      </c>
      <c r="P451" s="2"/>
      <c r="Q451" s="21"/>
      <c r="R451" s="78">
        <v>0.33333333333333331</v>
      </c>
      <c r="S451" s="78">
        <v>0.33333333333333331</v>
      </c>
      <c r="T451" s="1" t="str">
        <f>IF(Start!$B$6="Ja","",IF(((S451-R451)*24)&gt;=5.5,"X",""))</f>
        <v/>
      </c>
      <c r="U451" s="1" t="str">
        <f>IF(_xlfn.IFNA(MATCH($A$15,Start!$H$3:$H$11,0),0)&gt;0,"Ferie",(IF(L451="fri","Fri",(IF(L451="syk","Syk",IF(L451="Ferie","Ferie",IF(AND((S451-R451)=0,AB451=""),"",MAX((IF(T451="X",(S451-R451)*24-0.5,(S451-R451)*24)),AB451))))))))</f>
        <v/>
      </c>
      <c r="V451" s="58"/>
      <c r="W451" s="21" t="str">
        <f t="shared" si="510"/>
        <v/>
      </c>
      <c r="X451" s="21" t="str">
        <f t="shared" si="511"/>
        <v/>
      </c>
      <c r="Z451" s="70" t="str">
        <f>IF(SUMIFS(TrackingTime!H:H,TrackingTime!F:F,Timer!B451,TrackingTime!C:C,"Hovedkontoret")&gt;0,SUMIFS(TrackingTime!H:H,TrackingTime!F:F,Timer!B451,TrackingTime!C:C,"Hovedkontoret"),"")</f>
        <v/>
      </c>
      <c r="AA451" s="71" t="str">
        <f t="shared" si="456"/>
        <v/>
      </c>
      <c r="AB451" t="str">
        <f>IF(SUMIFS(TrackingTime!H:H,TrackingTime!F:F,Timer!B451,TrackingTime!C:C,Start!$F$3)&gt;0,SUMIFS(TrackingTime!H:H,TrackingTime!F:F,Timer!B451,TrackingTime!C:C,Start!$F$3),"")</f>
        <v/>
      </c>
      <c r="AC451" s="71" t="str">
        <f t="shared" si="458"/>
        <v/>
      </c>
    </row>
    <row r="452" spans="1:29" x14ac:dyDescent="0.25">
      <c r="A452" s="15"/>
      <c r="B452" s="63">
        <f t="shared" si="512"/>
        <v>46277</v>
      </c>
      <c r="C452">
        <f>IFERROR(IF(OR(L452="Fri",L452="Ferie",L452="Syk",L452="Omsorg",B452&lt;Start!$B$7),0,IF(IFERROR(MATCH(B452,Start!A$253:A$273,0),0)&gt;0,VLOOKUP(B452,Start!A$253:F$273,3,FALSE)/100*Start!$B$4,VLOOKUP(WEEKDAY(B452,2),Start!A$240:F$246,4,FALSE))),"")</f>
        <v>0</v>
      </c>
      <c r="D452">
        <f>IFERROR(IF(OR(U452="Fri",U452="Ferie",U452="Syk",U452="Omsorg",B452&lt;Start!$F$7),0,IF(IFERROR(MATCH(B452,Start!A$253:A$273,0),0)&gt;0,VLOOKUP(B452,Start!A$253:F$273,3,FALSE)/100*Start!$F$4,VLOOKUP(WEEKDAY(B452,2),Start!A$240:F$246,6,FALSE))),"")</f>
        <v>0</v>
      </c>
      <c r="E452">
        <f t="shared" ca="1" si="481"/>
        <v>0</v>
      </c>
      <c r="F452">
        <f>IFERROR(IF(YEAR(B452)=Start!$B$1,MONTH(B452),""),"")</f>
        <v>9</v>
      </c>
      <c r="G452" s="64" t="str">
        <f>IFERROR(VLOOKUP(B452,Start!A$111:B$273,2,FALSE),"")</f>
        <v/>
      </c>
      <c r="H452" s="21"/>
      <c r="I452" s="78">
        <v>0.41666666666666669</v>
      </c>
      <c r="J452" s="78">
        <v>0.41666666666666669</v>
      </c>
      <c r="K452" s="1" t="str">
        <f>IF(Start!$B$6="Ja","",IF(((J452-I452)*24)&gt;=5.5,"X",""))</f>
        <v/>
      </c>
      <c r="L452" s="1" t="str">
        <f t="shared" ref="L452:L453" si="513">IF(AND((J452-I452)=0,Z452=""),"",MAX((IF(K452="X",(J452-I452)*24-0.5,(J452-I452)*24)),Z452))</f>
        <v/>
      </c>
      <c r="M452" s="58"/>
      <c r="N452" s="21" t="str">
        <f t="shared" si="508"/>
        <v/>
      </c>
      <c r="O452" s="21" t="str">
        <f t="shared" si="509"/>
        <v/>
      </c>
      <c r="P452" s="2"/>
      <c r="Q452" s="21"/>
      <c r="R452" s="78">
        <v>0.41666666666666669</v>
      </c>
      <c r="S452" s="78">
        <v>0.41666666666666669</v>
      </c>
      <c r="T452" s="1" t="str">
        <f>IF(Start!$B$6="Ja","",IF(((S452-R452)*24)&gt;=5.5,"X",""))</f>
        <v/>
      </c>
      <c r="U452" s="1" t="str">
        <f t="shared" ref="U452:U453" si="514">IF(AND((S452-R452)=0,AB452=""),"",MAX((IF(T452="X",(S452-R452)*24-0.5,(S452-R452)*24)),AB452))</f>
        <v/>
      </c>
      <c r="V452" s="58"/>
      <c r="W452" s="21" t="str">
        <f t="shared" si="510"/>
        <v/>
      </c>
      <c r="X452" s="21" t="str">
        <f t="shared" si="511"/>
        <v/>
      </c>
      <c r="Z452" s="70" t="str">
        <f>IF(SUMIFS(TrackingTime!H:H,TrackingTime!F:F,Timer!B452,TrackingTime!C:C,"Hovedkontoret")&gt;0,SUMIFS(TrackingTime!H:H,TrackingTime!F:F,Timer!B452,TrackingTime!C:C,"Hovedkontoret"),"")</f>
        <v/>
      </c>
      <c r="AA452" s="71" t="str">
        <f t="shared" si="456"/>
        <v/>
      </c>
      <c r="AB452" t="str">
        <f>IF(SUMIFS(TrackingTime!H:H,TrackingTime!F:F,Timer!B452,TrackingTime!C:C,Start!$F$3)&gt;0,SUMIFS(TrackingTime!H:H,TrackingTime!F:F,Timer!B452,TrackingTime!C:C,Start!$F$3),"")</f>
        <v/>
      </c>
      <c r="AC452" s="71" t="str">
        <f t="shared" si="458"/>
        <v/>
      </c>
    </row>
    <row r="453" spans="1:29" x14ac:dyDescent="0.25">
      <c r="A453" s="15"/>
      <c r="B453" s="63">
        <f t="shared" si="512"/>
        <v>46278</v>
      </c>
      <c r="C453">
        <f>IFERROR(IF(OR(L453="Fri",L453="Ferie",L453="Syk",L453="Omsorg",B453&lt;Start!$B$7),0,IF(IFERROR(MATCH(B453,Start!A$253:A$273,0),0)&gt;0,VLOOKUP(B453,Start!A$253:F$273,3,FALSE)/100*Start!$B$4,VLOOKUP(WEEKDAY(B453,2),Start!A$240:F$246,4,FALSE))),"")</f>
        <v>0</v>
      </c>
      <c r="D453">
        <f>IFERROR(IF(OR(U453="Fri",U453="Ferie",U453="Syk",U453="Omsorg",B453&lt;Start!$F$7),0,IF(IFERROR(MATCH(B453,Start!A$253:A$273,0),0)&gt;0,VLOOKUP(B453,Start!A$253:F$273,3,FALSE)/100*Start!$F$4,VLOOKUP(WEEKDAY(B453,2),Start!A$240:F$246,6,FALSE))),"")</f>
        <v>0</v>
      </c>
      <c r="E453">
        <f t="shared" ca="1" si="481"/>
        <v>0</v>
      </c>
      <c r="F453">
        <f>IFERROR(IF(YEAR(B453)=Start!$B$1,MONTH(B453),""),"")</f>
        <v>9</v>
      </c>
      <c r="G453" s="64" t="str">
        <f>IFERROR(VLOOKUP(B453,Start!A$111:B$273,2,FALSE),"")</f>
        <v/>
      </c>
      <c r="H453" s="25"/>
      <c r="I453" s="78">
        <v>0.41666666666666669</v>
      </c>
      <c r="J453" s="78">
        <v>0.41666666666666669</v>
      </c>
      <c r="K453" s="1" t="str">
        <f>IF(Start!$B$6="Ja","",IF(((J453-I453)*24)&gt;=5.5,"X",""))</f>
        <v/>
      </c>
      <c r="L453" s="1" t="str">
        <f t="shared" si="513"/>
        <v/>
      </c>
      <c r="M453" s="58"/>
      <c r="N453" s="21" t="str">
        <f t="shared" si="508"/>
        <v/>
      </c>
      <c r="O453" s="21" t="str">
        <f t="shared" si="509"/>
        <v/>
      </c>
      <c r="Q453" s="25"/>
      <c r="R453" s="78">
        <v>0.41666666666666669</v>
      </c>
      <c r="S453" s="78">
        <v>0.41666666666666669</v>
      </c>
      <c r="T453" s="1" t="str">
        <f>IF(Start!$B$6="Ja","",IF(((S453-R453)*24)&gt;=5.5,"X",""))</f>
        <v/>
      </c>
      <c r="U453" s="1" t="str">
        <f t="shared" si="514"/>
        <v/>
      </c>
      <c r="V453" s="58"/>
      <c r="W453" s="21" t="str">
        <f t="shared" si="510"/>
        <v/>
      </c>
      <c r="X453" s="21" t="str">
        <f t="shared" si="511"/>
        <v/>
      </c>
      <c r="Z453" s="70" t="str">
        <f>IF(SUMIFS(TrackingTime!H:H,TrackingTime!F:F,Timer!B453,TrackingTime!C:C,"Hovedkontoret")&gt;0,SUMIFS(TrackingTime!H:H,TrackingTime!F:F,Timer!B453,TrackingTime!C:C,"Hovedkontoret"),"")</f>
        <v/>
      </c>
      <c r="AA453" s="71" t="str">
        <f t="shared" si="456"/>
        <v/>
      </c>
      <c r="AB453" t="str">
        <f>IF(SUMIFS(TrackingTime!H:H,TrackingTime!F:F,Timer!B453,TrackingTime!C:C,Start!$F$3)&gt;0,SUMIFS(TrackingTime!H:H,TrackingTime!F:F,Timer!B453,TrackingTime!C:C,Start!$F$3),"")</f>
        <v/>
      </c>
      <c r="AC453" s="71" t="str">
        <f t="shared" si="458"/>
        <v/>
      </c>
    </row>
    <row r="454" spans="1:29" x14ac:dyDescent="0.25">
      <c r="A454" s="15"/>
      <c r="B454" s="4" t="s">
        <v>11</v>
      </c>
      <c r="C454" s="24"/>
      <c r="D454" s="24"/>
      <c r="E454" s="24">
        <f t="shared" ca="1" si="481"/>
        <v>0</v>
      </c>
      <c r="F454" s="24" t="str">
        <f>IFERROR(IF(YEAR(B454)=Start!$B$1,MONTH(B454),""),"")</f>
        <v/>
      </c>
      <c r="G454" s="64" t="str">
        <f>IFERROR(VLOOKUP(B454,Start!A$111:B$273,2,FALSE),"")</f>
        <v/>
      </c>
      <c r="H454" s="4"/>
      <c r="I454" s="4"/>
      <c r="J454" s="4"/>
      <c r="K454" s="4"/>
      <c r="L454" s="5">
        <f t="shared" ref="L454:L514" si="515">SUM($L447:$L453)</f>
        <v>0</v>
      </c>
      <c r="N454" s="24"/>
      <c r="O454" s="39">
        <f t="shared" ref="O454" si="516">SUM(O447:O453)</f>
        <v>0</v>
      </c>
      <c r="P454" s="40"/>
      <c r="Q454" s="41"/>
      <c r="R454" s="4"/>
      <c r="S454" s="4"/>
      <c r="T454" s="4"/>
      <c r="U454" s="5">
        <f t="shared" ref="U454" si="517">SUM($U447:$U453)</f>
        <v>0</v>
      </c>
      <c r="V454" s="58"/>
      <c r="W454" s="39"/>
      <c r="X454" s="39">
        <f t="shared" si="463"/>
        <v>0</v>
      </c>
      <c r="Z454" s="70" t="str">
        <f>IF(SUMIFS(TrackingTime!H:H,TrackingTime!F:F,Timer!B454,TrackingTime!C:C,"Hovedkontoret")&gt;0,SUMIFS(TrackingTime!H:H,TrackingTime!F:F,Timer!B454,TrackingTime!C:C,"Hovedkontoret"),"")</f>
        <v/>
      </c>
      <c r="AA454" s="71" t="str">
        <f t="shared" si="456"/>
        <v/>
      </c>
      <c r="AB454" t="str">
        <f>IF(SUMIFS(TrackingTime!H:H,TrackingTime!F:F,Timer!B454,TrackingTime!C:C,Start!$F$3)&gt;0,SUMIFS(TrackingTime!H:H,TrackingTime!F:F,Timer!B454,TrackingTime!C:C,Start!$F$3),"")</f>
        <v/>
      </c>
      <c r="AC454" s="71" t="str">
        <f t="shared" si="458"/>
        <v/>
      </c>
    </row>
    <row r="455" spans="1:29" x14ac:dyDescent="0.25">
      <c r="A455" s="15"/>
      <c r="B455" t="s">
        <v>90</v>
      </c>
      <c r="E455">
        <f t="shared" ca="1" si="481"/>
        <v>0</v>
      </c>
      <c r="F455" t="str">
        <f>IFERROR(IF(YEAR(B455)=Start!$B$1,MONTH(B455),""),"")</f>
        <v/>
      </c>
      <c r="G455" s="64" t="str">
        <f>IFERROR(VLOOKUP(B455,Start!A$111:B$273,2,FALSE),"")</f>
        <v/>
      </c>
      <c r="L455" s="1">
        <f t="shared" ref="L455:L515" si="518">SUMIFS(C447:C453,F447:F453,"&gt;0")</f>
        <v>0</v>
      </c>
      <c r="M455" s="1"/>
      <c r="N455" s="1"/>
      <c r="O455" s="21">
        <f t="shared" ref="O455" si="519">L455</f>
        <v>0</v>
      </c>
      <c r="P455" s="40"/>
      <c r="Q455" s="21"/>
      <c r="U455" s="1">
        <f t="shared" ref="U455" si="520">SUMIFS(D447:D453,F447:F453,"&gt;0")</f>
        <v>0</v>
      </c>
      <c r="V455" s="1"/>
      <c r="W455" s="1"/>
      <c r="X455" s="21">
        <f>U455</f>
        <v>0</v>
      </c>
      <c r="Z455" s="70" t="str">
        <f>IF(SUMIFS(TrackingTime!H:H,TrackingTime!F:F,Timer!B455,TrackingTime!C:C,"Hovedkontoret")&gt;0,SUMIFS(TrackingTime!H:H,TrackingTime!F:F,Timer!B455,TrackingTime!C:C,"Hovedkontoret"),"")</f>
        <v/>
      </c>
      <c r="AA455" s="71" t="str">
        <f t="shared" si="456"/>
        <v/>
      </c>
      <c r="AB455" t="str">
        <f>IF(SUMIFS(TrackingTime!H:H,TrackingTime!F:F,Timer!B455,TrackingTime!C:C,Start!$F$3)&gt;0,SUMIFS(TrackingTime!H:H,TrackingTime!F:F,Timer!B455,TrackingTime!C:C,Start!$F$3),"")</f>
        <v/>
      </c>
      <c r="AC455" s="71" t="str">
        <f t="shared" si="458"/>
        <v/>
      </c>
    </row>
    <row r="456" spans="1:29" x14ac:dyDescent="0.25">
      <c r="A456" s="16">
        <f>B453-B447-1</f>
        <v>5</v>
      </c>
      <c r="B456" t="s">
        <v>117</v>
      </c>
      <c r="E456">
        <f t="shared" ca="1" si="481"/>
        <v>0</v>
      </c>
      <c r="F456" t="str">
        <f>IFERROR(IF(YEAR(B456)=Start!$B$1,MONTH(B456),""),"")</f>
        <v/>
      </c>
      <c r="G456" s="64" t="str">
        <f>IFERROR(VLOOKUP(B456,Start!A$111:B$273,2,FALSE),"")</f>
        <v/>
      </c>
      <c r="L456" s="77">
        <f t="shared" ref="L456:L516" ca="1" si="521">L454-L455*(IF(NETWORKDAYS($B447,TODAY())&lt;0,0,IF(NETWORKDAYS($B447,TODAY())&lt;=$A456,NETWORKDAYS($B447,TODAY()),$A456)))/$A456</f>
        <v>0</v>
      </c>
      <c r="O456" s="21">
        <f t="shared" ref="O456" si="522">O454-O455</f>
        <v>0</v>
      </c>
      <c r="P456" s="21"/>
      <c r="Q456" s="21"/>
      <c r="U456" s="1">
        <f t="shared" ref="U456" ca="1" si="523">U454-U455*(IF(NETWORKDAYS($B447,TODAY())&lt;0,0,IF(NETWORKDAYS($B447,TODAY())&lt;=$A456,NETWORKDAYS($B447,TODAY()),$A456)))/$A456</f>
        <v>0</v>
      </c>
      <c r="V456" s="58"/>
      <c r="W456" s="21"/>
      <c r="X456" s="21">
        <f>X454-X455</f>
        <v>0</v>
      </c>
      <c r="Z456" s="70" t="str">
        <f>IF(SUMIFS(TrackingTime!H:H,TrackingTime!F:F,Timer!B456,TrackingTime!C:C,"Hovedkontoret")&gt;0,SUMIFS(TrackingTime!H:H,TrackingTime!F:F,Timer!B456,TrackingTime!C:C,"Hovedkontoret"),"")</f>
        <v/>
      </c>
      <c r="AA456" s="71" t="str">
        <f t="shared" si="456"/>
        <v/>
      </c>
      <c r="AB456" t="str">
        <f>IF(SUMIFS(TrackingTime!H:H,TrackingTime!F:F,Timer!B456,TrackingTime!C:C,Start!$F$3)&gt;0,SUMIFS(TrackingTime!H:H,TrackingTime!F:F,Timer!B456,TrackingTime!C:C,Start!$F$3),"")</f>
        <v/>
      </c>
      <c r="AC456" s="71" t="str">
        <f t="shared" si="458"/>
        <v/>
      </c>
    </row>
    <row r="457" spans="1:29" x14ac:dyDescent="0.25">
      <c r="A457" s="15"/>
      <c r="E457">
        <f t="shared" ca="1" si="481"/>
        <v>1</v>
      </c>
      <c r="F457" t="str">
        <f>IFERROR(IF(YEAR(B457)=Start!$B$1,MONTH(B457),""),"")</f>
        <v/>
      </c>
      <c r="G457" s="64" t="str">
        <f>IFERROR(VLOOKUP(B457,Start!A$111:B$273,2,FALSE),"")</f>
        <v/>
      </c>
      <c r="O457" s="2"/>
      <c r="P457" s="2"/>
      <c r="U457" s="1"/>
      <c r="V457" s="7"/>
      <c r="X457" s="2"/>
      <c r="Z457" s="70" t="str">
        <f>IF(SUMIFS(TrackingTime!H:H,TrackingTime!F:F,Timer!B457,TrackingTime!C:C,"Hovedkontoret")&gt;0,SUMIFS(TrackingTime!H:H,TrackingTime!F:F,Timer!B457,TrackingTime!C:C,"Hovedkontoret"),"")</f>
        <v/>
      </c>
      <c r="AA457" s="71" t="str">
        <f t="shared" si="456"/>
        <v/>
      </c>
      <c r="AB457" t="str">
        <f>IF(SUMIFS(TrackingTime!H:H,TrackingTime!F:F,Timer!B457,TrackingTime!C:C,Start!$F$3)&gt;0,SUMIFS(TrackingTime!H:H,TrackingTime!F:F,Timer!B457,TrackingTime!C:C,Start!$F$3),"")</f>
        <v/>
      </c>
      <c r="AC457" s="71" t="str">
        <f t="shared" si="458"/>
        <v/>
      </c>
    </row>
    <row r="458" spans="1:29" x14ac:dyDescent="0.25">
      <c r="A458" s="2" t="s">
        <v>82</v>
      </c>
      <c r="B458" s="14" t="s">
        <v>83</v>
      </c>
      <c r="E458">
        <f t="shared" ca="1" si="481"/>
        <v>0</v>
      </c>
      <c r="F458" t="str">
        <f>IFERROR(IF(YEAR(B458)=Start!$B$1,MONTH(B458),""),"")</f>
        <v/>
      </c>
      <c r="G458" s="64" t="str">
        <f>IFERROR(VLOOKUP(B458,Start!A$111:B$273,2,FALSE),"")</f>
        <v/>
      </c>
      <c r="H458" s="2" t="s">
        <v>86</v>
      </c>
      <c r="I458" s="2" t="s">
        <v>125</v>
      </c>
      <c r="J458" s="2" t="s">
        <v>126</v>
      </c>
      <c r="K458" s="2" t="s">
        <v>127</v>
      </c>
      <c r="L458" s="3" t="s">
        <v>87</v>
      </c>
      <c r="M458" s="6"/>
      <c r="N458" s="2" t="s">
        <v>88</v>
      </c>
      <c r="O458" s="2" t="s">
        <v>89</v>
      </c>
      <c r="P458" s="2"/>
      <c r="Q458" s="2" t="s">
        <v>86</v>
      </c>
      <c r="R458" s="2" t="s">
        <v>125</v>
      </c>
      <c r="S458" s="2" t="s">
        <v>126</v>
      </c>
      <c r="T458" s="2" t="s">
        <v>127</v>
      </c>
      <c r="U458" s="3" t="s">
        <v>87</v>
      </c>
      <c r="V458" s="6"/>
      <c r="W458" s="2" t="s">
        <v>88</v>
      </c>
      <c r="X458" s="2" t="s">
        <v>89</v>
      </c>
      <c r="Z458" s="70" t="str">
        <f>IF(SUMIFS(TrackingTime!H:H,TrackingTime!F:F,Timer!B458,TrackingTime!C:C,"Hovedkontoret")&gt;0,SUMIFS(TrackingTime!H:H,TrackingTime!F:F,Timer!B458,TrackingTime!C:C,"Hovedkontoret"),"")</f>
        <v/>
      </c>
      <c r="AA458" s="71" t="str">
        <f t="shared" si="456"/>
        <v/>
      </c>
      <c r="AB458" t="str">
        <f>IF(SUMIFS(TrackingTime!H:H,TrackingTime!F:F,Timer!B458,TrackingTime!C:C,Start!$F$3)&gt;0,SUMIFS(TrackingTime!H:H,TrackingTime!F:F,Timer!B458,TrackingTime!C:C,Start!$F$3),"")</f>
        <v/>
      </c>
      <c r="AC458" s="71" t="str">
        <f t="shared" si="458"/>
        <v/>
      </c>
    </row>
    <row r="459" spans="1:29" x14ac:dyDescent="0.25">
      <c r="A459" s="15">
        <f>WEEKNUM(B459,21)</f>
        <v>38</v>
      </c>
      <c r="B459" s="63">
        <f>B453+(DAY(1))</f>
        <v>46279</v>
      </c>
      <c r="C459" t="str">
        <f>IFERROR(IF(OR(L459="Fri",L459="Ferie",L459="Syk",L459="Omsorg",B459&lt;Start!$B$7),0,IF(IFERROR(MATCH(B459,Start!A$253:A$273,0),0)&gt;0,VLOOKUP(B459,Start!A$253:F$273,3,FALSE)/100*Start!$B$4,VLOOKUP(WEEKDAY(B459,2),Start!A$240:F$246,4,FALSE))),"")</f>
        <v/>
      </c>
      <c r="D459" t="str">
        <f>IFERROR(IF(OR(U459="Fri",U459="Ferie",U459="Syk",U459="Omsorg",B459&lt;Start!$F$7),0,IF(IFERROR(MATCH(B459,Start!A$253:A$273,0),0)&gt;0,VLOOKUP(B459,Start!A$253:F$273,3,FALSE)/100*Start!$F$4,VLOOKUP(WEEKDAY(B459,2),Start!A$240:F$246,6,FALSE))),"")</f>
        <v/>
      </c>
      <c r="E459">
        <f t="shared" ca="1" si="481"/>
        <v>0</v>
      </c>
      <c r="F459">
        <f>IFERROR(IF(YEAR(B459)=Start!$B$1,MONTH(B459),""),"")</f>
        <v>9</v>
      </c>
      <c r="G459" s="64" t="str">
        <f>IFERROR(VLOOKUP(B459,Start!A$111:B$273,2,FALSE),"")</f>
        <v/>
      </c>
      <c r="H459" s="21"/>
      <c r="I459" s="78">
        <v>0.33333333333333331</v>
      </c>
      <c r="J459" s="78">
        <v>0.33333333333333331</v>
      </c>
      <c r="K459" s="1" t="str">
        <f>IF(Start!$B$6="Ja","",IF(((J459-I459)*24)&gt;=5.5,"X",""))</f>
        <v/>
      </c>
      <c r="L459" s="1" t="str">
        <f>IF(_xlfn.IFNA(MATCH($A459,Start!$H$3:$H$11,0),0)&gt;0,"Ferie",IFERROR(IF(VLOOKUP(B459,Start!A$165:B$234,2,FALSE)&gt;0,"Fri",0),IF(AND((J459-I459)=0,Z459=""),"",MAX((IF(K459="X",(J459-I459)*24-0.5,(J459-I459)*24)),Z459))))</f>
        <v/>
      </c>
      <c r="M459" s="58"/>
      <c r="N459" s="21" t="str">
        <f t="shared" ref="N459:N465" si="524">IF(H459=0,"",H459)</f>
        <v/>
      </c>
      <c r="O459" s="21" t="str">
        <f t="shared" ref="O459:O465" si="525">IF(L459=0,"",L459)</f>
        <v/>
      </c>
      <c r="P459" s="2"/>
      <c r="Q459" s="21"/>
      <c r="R459" s="78">
        <v>0.33333333333333331</v>
      </c>
      <c r="S459" s="78">
        <v>0.33333333333333331</v>
      </c>
      <c r="T459" s="1" t="str">
        <f>IF(Start!$B$6="Ja","",IF(((S459-R459)*24)&gt;=5.5,"X",""))</f>
        <v/>
      </c>
      <c r="U459" s="1" t="str">
        <f>IF(_xlfn.IFNA(MATCH($A$15,Start!$H$3:$H$11,0),0)&gt;0,"Ferie",(IF(L459="fri","Fri",(IF(L459="syk","Syk",IF(L459="Ferie","Ferie",IF(AND((S459-R459)=0,AB459=""),"",MAX((IF(T459="X",(S459-R459)*24-0.5,(S459-R459)*24)),AB459))))))))</f>
        <v/>
      </c>
      <c r="V459" s="58"/>
      <c r="W459" s="21" t="str">
        <f t="shared" ref="W459:W465" si="526">IF(Q459=0,"",Q459)</f>
        <v/>
      </c>
      <c r="X459" s="21" t="str">
        <f t="shared" ref="X459:X465" si="527">IF(U459=0,"",U459)</f>
        <v/>
      </c>
      <c r="Z459" s="70" t="str">
        <f>IF(SUMIFS(TrackingTime!H:H,TrackingTime!F:F,Timer!B459,TrackingTime!C:C,"Hovedkontoret")&gt;0,SUMIFS(TrackingTime!H:H,TrackingTime!F:F,Timer!B459,TrackingTime!C:C,"Hovedkontoret"),"")</f>
        <v/>
      </c>
      <c r="AA459" s="71" t="str">
        <f t="shared" si="456"/>
        <v/>
      </c>
      <c r="AB459" t="str">
        <f>IF(SUMIFS(TrackingTime!H:H,TrackingTime!F:F,Timer!B459,TrackingTime!C:C,Start!$F$3)&gt;0,SUMIFS(TrackingTime!H:H,TrackingTime!F:F,Timer!B459,TrackingTime!C:C,Start!$F$3),"")</f>
        <v/>
      </c>
      <c r="AC459" s="71" t="str">
        <f t="shared" si="458"/>
        <v/>
      </c>
    </row>
    <row r="460" spans="1:29" x14ac:dyDescent="0.25">
      <c r="A460" s="15"/>
      <c r="B460" s="63">
        <f t="shared" ref="B460:B465" si="528">B459+DAY(1)</f>
        <v>46280</v>
      </c>
      <c r="C460" t="str">
        <f>IFERROR(IF(OR(L460="Fri",L460="Ferie",L460="Syk",L460="Omsorg",B460&lt;Start!$B$7),0,IF(IFERROR(MATCH(B460,Start!A$253:A$273,0),0)&gt;0,VLOOKUP(B460,Start!A$253:F$273,3,FALSE)/100*Start!$B$4,VLOOKUP(WEEKDAY(B460,2),Start!A$240:F$246,4,FALSE))),"")</f>
        <v/>
      </c>
      <c r="D460" t="str">
        <f>IFERROR(IF(OR(U460="Fri",U460="Ferie",U460="Syk",U460="Omsorg",B460&lt;Start!$F$7),0,IF(IFERROR(MATCH(B460,Start!A$253:A$273,0),0)&gt;0,VLOOKUP(B460,Start!A$253:F$273,3,FALSE)/100*Start!$F$4,VLOOKUP(WEEKDAY(B460,2),Start!A$240:F$246,6,FALSE))),"")</f>
        <v/>
      </c>
      <c r="E460">
        <f t="shared" ca="1" si="481"/>
        <v>0</v>
      </c>
      <c r="F460">
        <f>IFERROR(IF(YEAR(B460)=Start!$B$1,MONTH(B460),""),"")</f>
        <v>9</v>
      </c>
      <c r="G460" s="64" t="str">
        <f>IFERROR(VLOOKUP(B460,Start!A$111:B$273,2,FALSE),"")</f>
        <v/>
      </c>
      <c r="H460" s="21"/>
      <c r="I460" s="78">
        <v>0.33333333333333331</v>
      </c>
      <c r="J460" s="78">
        <v>0.33333333333333331</v>
      </c>
      <c r="K460" s="1" t="str">
        <f>IF(Start!$B$6="Ja","",IF(((J460-I460)*24)&gt;=5.5,"X",""))</f>
        <v/>
      </c>
      <c r="L460" s="1" t="str">
        <f>IF(_xlfn.IFNA(MATCH($A459,Start!$H$3:$H$11,0),0)&gt;0,"Ferie",IFERROR(IF(VLOOKUP($B460,Start!$A$165:$B$234,2,FALSE)&gt;0,"Fri",0),IF(AND((J460-I460)=0,Z460=""),"",MAX((IF(K460="X",(J460-I460)*24-0.5,(J460-I460)*24)),Z460))))</f>
        <v/>
      </c>
      <c r="M460" s="58"/>
      <c r="N460" s="21" t="str">
        <f t="shared" si="524"/>
        <v/>
      </c>
      <c r="O460" s="21" t="str">
        <f t="shared" si="525"/>
        <v/>
      </c>
      <c r="P460" s="2"/>
      <c r="Q460" s="21"/>
      <c r="R460" s="78">
        <v>0.33333333333333331</v>
      </c>
      <c r="S460" s="78">
        <v>0.33333333333333331</v>
      </c>
      <c r="T460" s="1" t="str">
        <f>IF(Start!$B$6="Ja","",IF(((S460-R460)*24)&gt;=5.5,"X",""))</f>
        <v/>
      </c>
      <c r="U460" s="1" t="str">
        <f>IF(_xlfn.IFNA(MATCH($A$15,Start!$H$3:$H$11,0),0)&gt;0,"Ferie",(IF(L460="fri","Fri",(IF(L460="syk","Syk",IF(L460="Ferie","Ferie",IF(AND((S460-R460)=0,AB460=""),"",MAX((IF(T460="X",(S460-R460)*24-0.5,(S460-R460)*24)),AB460))))))))</f>
        <v/>
      </c>
      <c r="V460" s="58"/>
      <c r="W460" s="21" t="str">
        <f t="shared" si="526"/>
        <v/>
      </c>
      <c r="X460" s="21" t="str">
        <f t="shared" si="527"/>
        <v/>
      </c>
      <c r="Z460" s="70" t="str">
        <f>IF(SUMIFS(TrackingTime!H:H,TrackingTime!F:F,Timer!B460,TrackingTime!C:C,"Hovedkontoret")&gt;0,SUMIFS(TrackingTime!H:H,TrackingTime!F:F,Timer!B460,TrackingTime!C:C,"Hovedkontoret"),"")</f>
        <v/>
      </c>
      <c r="AA460" s="71" t="str">
        <f t="shared" si="456"/>
        <v/>
      </c>
      <c r="AB460" t="str">
        <f>IF(SUMIFS(TrackingTime!H:H,TrackingTime!F:F,Timer!B460,TrackingTime!C:C,Start!$F$3)&gt;0,SUMIFS(TrackingTime!H:H,TrackingTime!F:F,Timer!B460,TrackingTime!C:C,Start!$F$3),"")</f>
        <v/>
      </c>
      <c r="AC460" s="71" t="str">
        <f t="shared" si="458"/>
        <v/>
      </c>
    </row>
    <row r="461" spans="1:29" x14ac:dyDescent="0.25">
      <c r="A461" s="15"/>
      <c r="B461" s="63">
        <f t="shared" si="528"/>
        <v>46281</v>
      </c>
      <c r="C461" t="str">
        <f>IFERROR(IF(OR(L461="Fri",L461="Ferie",L461="Syk",L461="Omsorg",B461&lt;Start!$B$7),0,IF(IFERROR(MATCH(B461,Start!A$253:A$273,0),0)&gt;0,VLOOKUP(B461,Start!A$253:F$273,3,FALSE)/100*Start!$B$4,VLOOKUP(WEEKDAY(B461,2),Start!A$240:F$246,4,FALSE))),"")</f>
        <v/>
      </c>
      <c r="D461" t="str">
        <f>IFERROR(IF(OR(U461="Fri",U461="Ferie",U461="Syk",U461="Omsorg",B461&lt;Start!$F$7),0,IF(IFERROR(MATCH(B461,Start!A$253:A$273,0),0)&gt;0,VLOOKUP(B461,Start!A$253:F$273,3,FALSE)/100*Start!$F$4,VLOOKUP(WEEKDAY(B461,2),Start!A$240:F$246,6,FALSE))),"")</f>
        <v/>
      </c>
      <c r="E461">
        <f t="shared" ca="1" si="481"/>
        <v>0</v>
      </c>
      <c r="F461">
        <f>IFERROR(IF(YEAR(B461)=Start!$B$1,MONTH(B461),""),"")</f>
        <v>9</v>
      </c>
      <c r="G461" s="64" t="str">
        <f>IFERROR(VLOOKUP(B461,Start!A$111:B$273,2,FALSE),"")</f>
        <v/>
      </c>
      <c r="H461" s="21"/>
      <c r="I461" s="78">
        <v>0.33333333333333331</v>
      </c>
      <c r="J461" s="78">
        <v>0.33333333333333331</v>
      </c>
      <c r="K461" s="1" t="str">
        <f>IF(Start!$B$6="Ja","",IF(((J461-I461)*24)&gt;=5.5,"X",""))</f>
        <v/>
      </c>
      <c r="L461" s="1" t="str">
        <f>IF(_xlfn.IFNA(MATCH($A459,Start!$H$3:$H$11,0),0)&gt;0,"Ferie",IFERROR(IF(VLOOKUP(B461,Start!A$165:B$234,2,FALSE)&gt;0,"Fri",0),IF(AND((J461-I461)=0,Z461=""),"",MAX((IF(K461="X",(J461-I461)*24-0.5,(J461-I461)*24)),Z461))))</f>
        <v/>
      </c>
      <c r="M461" s="58"/>
      <c r="N461" s="21" t="str">
        <f t="shared" si="524"/>
        <v/>
      </c>
      <c r="O461" s="21" t="str">
        <f t="shared" si="525"/>
        <v/>
      </c>
      <c r="P461" s="2"/>
      <c r="Q461" s="21"/>
      <c r="R461" s="78">
        <v>0.33333333333333331</v>
      </c>
      <c r="S461" s="78">
        <v>0.33333333333333331</v>
      </c>
      <c r="T461" s="1" t="str">
        <f>IF(Start!$B$6="Ja","",IF(((S461-R461)*24)&gt;=5.5,"X",""))</f>
        <v/>
      </c>
      <c r="U461" s="1" t="str">
        <f>IF(_xlfn.IFNA(MATCH($A$15,Start!$H$3:$H$11,0),0)&gt;0,"Ferie",(IF(L461="fri","Fri",(IF(L461="syk","Syk",IF(L461="Ferie","Ferie",IF(AND((S461-R461)=0,AB461=""),"",MAX((IF(T461="X",(S461-R461)*24-0.5,(S461-R461)*24)),AB461))))))))</f>
        <v/>
      </c>
      <c r="V461" s="58"/>
      <c r="W461" s="21" t="str">
        <f t="shared" si="526"/>
        <v/>
      </c>
      <c r="X461" s="21" t="str">
        <f t="shared" si="527"/>
        <v/>
      </c>
      <c r="Z461" s="70" t="str">
        <f>IF(SUMIFS(TrackingTime!H:H,TrackingTime!F:F,Timer!B461,TrackingTime!C:C,"Hovedkontoret")&gt;0,SUMIFS(TrackingTime!H:H,TrackingTime!F:F,Timer!B461,TrackingTime!C:C,"Hovedkontoret"),"")</f>
        <v/>
      </c>
      <c r="AA461" s="71" t="str">
        <f t="shared" si="456"/>
        <v/>
      </c>
      <c r="AB461" t="str">
        <f>IF(SUMIFS(TrackingTime!H:H,TrackingTime!F:F,Timer!B461,TrackingTime!C:C,Start!$F$3)&gt;0,SUMIFS(TrackingTime!H:H,TrackingTime!F:F,Timer!B461,TrackingTime!C:C,Start!$F$3),"")</f>
        <v/>
      </c>
      <c r="AC461" s="71" t="str">
        <f t="shared" si="458"/>
        <v/>
      </c>
    </row>
    <row r="462" spans="1:29" x14ac:dyDescent="0.25">
      <c r="A462" s="15"/>
      <c r="B462" s="63">
        <f t="shared" si="528"/>
        <v>46282</v>
      </c>
      <c r="C462" t="str">
        <f>IFERROR(IF(OR(L462="Fri",L462="Ferie",L462="Syk",L462="Omsorg",B462&lt;Start!$B$7),0,IF(IFERROR(MATCH(B462,Start!A$253:A$273,0),0)&gt;0,VLOOKUP(B462,Start!A$253:F$273,3,FALSE)/100*Start!$B$4,VLOOKUP(WEEKDAY(B462,2),Start!A$240:F$246,4,FALSE))),"")</f>
        <v/>
      </c>
      <c r="D462" t="str">
        <f>IFERROR(IF(OR(U462="Fri",U462="Ferie",U462="Syk",U462="Omsorg",B462&lt;Start!$F$7),0,IF(IFERROR(MATCH(B462,Start!A$253:A$273,0),0)&gt;0,VLOOKUP(B462,Start!A$253:F$273,3,FALSE)/100*Start!$F$4,VLOOKUP(WEEKDAY(B462,2),Start!A$240:F$246,6,FALSE))),"")</f>
        <v/>
      </c>
      <c r="E462">
        <f t="shared" ca="1" si="481"/>
        <v>0</v>
      </c>
      <c r="F462">
        <f>IFERROR(IF(YEAR(B462)=Start!$B$1,MONTH(B462),""),"")</f>
        <v>9</v>
      </c>
      <c r="G462" s="64" t="str">
        <f>IFERROR(VLOOKUP(B462,Start!A$111:B$273,2,FALSE),"")</f>
        <v/>
      </c>
      <c r="H462" s="21"/>
      <c r="I462" s="78">
        <v>0.33333333333333331</v>
      </c>
      <c r="J462" s="78">
        <v>0.33333333333333331</v>
      </c>
      <c r="K462" s="1" t="str">
        <f>IF(Start!$B$6="Ja","",IF(((J462-I462)*24)&gt;=5.5,"X",""))</f>
        <v/>
      </c>
      <c r="L462" s="1" t="str">
        <f>IF(_xlfn.IFNA(MATCH($A459,Start!$H$3:$H$11,0),0)&gt;0,"Ferie",IFERROR(IF(VLOOKUP(B462,Start!A$165:B$234,2,FALSE)&gt;0,"Fri",0),IF(AND((J462-I462)=0,Z462=""),"",MAX((IF(K462="X",(J462-I462)*24-0.5,(J462-I462)*24)),Z462))))</f>
        <v/>
      </c>
      <c r="M462" s="58"/>
      <c r="N462" s="21" t="str">
        <f t="shared" si="524"/>
        <v/>
      </c>
      <c r="O462" s="21" t="str">
        <f t="shared" si="525"/>
        <v/>
      </c>
      <c r="P462" s="2"/>
      <c r="Q462" s="21"/>
      <c r="R462" s="78">
        <v>0.33333333333333331</v>
      </c>
      <c r="S462" s="78">
        <v>0.33333333333333331</v>
      </c>
      <c r="T462" s="1" t="str">
        <f>IF(Start!$B$6="Ja","",IF(((S462-R462)*24)&gt;=5.5,"X",""))</f>
        <v/>
      </c>
      <c r="U462" s="1" t="str">
        <f>IF(_xlfn.IFNA(MATCH($A$15,Start!$H$3:$H$11,0),0)&gt;0,"Ferie",(IF(L462="fri","Fri",(IF(L462="syk","Syk",IF(L462="Ferie","Ferie",IF(AND((S462-R462)=0,AB462=""),"",MAX((IF(T462="X",(S462-R462)*24-0.5,(S462-R462)*24)),AB462))))))))</f>
        <v/>
      </c>
      <c r="V462" s="58"/>
      <c r="W462" s="21" t="str">
        <f t="shared" si="526"/>
        <v/>
      </c>
      <c r="X462" s="21" t="str">
        <f t="shared" si="527"/>
        <v/>
      </c>
      <c r="Z462" s="70" t="str">
        <f>IF(SUMIFS(TrackingTime!H:H,TrackingTime!F:F,Timer!B462,TrackingTime!C:C,"Hovedkontoret")&gt;0,SUMIFS(TrackingTime!H:H,TrackingTime!F:F,Timer!B462,TrackingTime!C:C,"Hovedkontoret"),"")</f>
        <v/>
      </c>
      <c r="AA462" s="71" t="str">
        <f t="shared" si="456"/>
        <v/>
      </c>
      <c r="AB462" t="str">
        <f>IF(SUMIFS(TrackingTime!H:H,TrackingTime!F:F,Timer!B462,TrackingTime!C:C,Start!$F$3)&gt;0,SUMIFS(TrackingTime!H:H,TrackingTime!F:F,Timer!B462,TrackingTime!C:C,Start!$F$3),"")</f>
        <v/>
      </c>
      <c r="AC462" s="71" t="str">
        <f t="shared" si="458"/>
        <v/>
      </c>
    </row>
    <row r="463" spans="1:29" x14ac:dyDescent="0.25">
      <c r="A463" s="15"/>
      <c r="B463" s="63">
        <f t="shared" si="528"/>
        <v>46283</v>
      </c>
      <c r="C463" t="str">
        <f>IFERROR(IF(OR(L463="Fri",L463="Ferie",L463="Syk",L463="Omsorg",B463&lt;Start!$B$7),0,IF(IFERROR(MATCH(B463,Start!A$253:A$273,0),0)&gt;0,VLOOKUP(B463,Start!A$253:F$273,3,FALSE)/100*Start!$B$4,VLOOKUP(WEEKDAY(B463,2),Start!A$240:F$246,4,FALSE))),"")</f>
        <v/>
      </c>
      <c r="D463" t="str">
        <f>IFERROR(IF(OR(U463="Fri",U463="Ferie",U463="Syk",U463="Omsorg",B463&lt;Start!$F$7),0,IF(IFERROR(MATCH(B463,Start!A$253:A$273,0),0)&gt;0,VLOOKUP(B463,Start!A$253:F$273,3,FALSE)/100*Start!$F$4,VLOOKUP(WEEKDAY(B463,2),Start!A$240:F$246,6,FALSE))),"")</f>
        <v/>
      </c>
      <c r="E463">
        <f t="shared" ca="1" si="481"/>
        <v>0</v>
      </c>
      <c r="F463">
        <f>IFERROR(IF(YEAR(B463)=Start!$B$1,MONTH(B463),""),"")</f>
        <v>9</v>
      </c>
      <c r="G463" s="64" t="str">
        <f>IFERROR(VLOOKUP(B463,Start!A$111:B$273,2,FALSE),"")</f>
        <v/>
      </c>
      <c r="H463" s="21"/>
      <c r="I463" s="78">
        <v>0.33333333333333331</v>
      </c>
      <c r="J463" s="78">
        <v>0.33333333333333331</v>
      </c>
      <c r="K463" s="1" t="str">
        <f>IF(Start!$B$6="Ja","",IF(((J463-I463)*24)&gt;=5.5,"X",""))</f>
        <v/>
      </c>
      <c r="L463" s="1" t="str">
        <f>IF(_xlfn.IFNA(MATCH($A459,Start!$H$3:$H$11,0),0)&gt;0,"Ferie",IFERROR(IF(VLOOKUP(B463,Start!A$165:B$234,2,FALSE)&gt;0,"Fri",0),IF(AND((J463-I463)=0,Z463=""),"",MAX((IF(K463="X",(J463-I463)*24-0.5,(J463-I463)*24)),Z463))))</f>
        <v/>
      </c>
      <c r="M463" s="58"/>
      <c r="N463" s="21" t="str">
        <f t="shared" si="524"/>
        <v/>
      </c>
      <c r="O463" s="21" t="str">
        <f t="shared" si="525"/>
        <v/>
      </c>
      <c r="P463" s="2"/>
      <c r="Q463" s="21"/>
      <c r="R463" s="78">
        <v>0.33333333333333331</v>
      </c>
      <c r="S463" s="78">
        <v>0.33333333333333331</v>
      </c>
      <c r="T463" s="1" t="str">
        <f>IF(Start!$B$6="Ja","",IF(((S463-R463)*24)&gt;=5.5,"X",""))</f>
        <v/>
      </c>
      <c r="U463" s="1" t="str">
        <f>IF(_xlfn.IFNA(MATCH($A$15,Start!$H$3:$H$11,0),0)&gt;0,"Ferie",(IF(L463="fri","Fri",(IF(L463="syk","Syk",IF(L463="Ferie","Ferie",IF(AND((S463-R463)=0,AB463=""),"",MAX((IF(T463="X",(S463-R463)*24-0.5,(S463-R463)*24)),AB463))))))))</f>
        <v/>
      </c>
      <c r="V463" s="58"/>
      <c r="W463" s="21" t="str">
        <f t="shared" si="526"/>
        <v/>
      </c>
      <c r="X463" s="21" t="str">
        <f t="shared" si="527"/>
        <v/>
      </c>
      <c r="Z463" s="70" t="str">
        <f>IF(SUMIFS(TrackingTime!H:H,TrackingTime!F:F,Timer!B463,TrackingTime!C:C,"Hovedkontoret")&gt;0,SUMIFS(TrackingTime!H:H,TrackingTime!F:F,Timer!B463,TrackingTime!C:C,"Hovedkontoret"),"")</f>
        <v/>
      </c>
      <c r="AA463" s="71" t="str">
        <f t="shared" ref="AA463:AA526" si="529">IFERROR(Z463/24,"")</f>
        <v/>
      </c>
      <c r="AB463" t="str">
        <f>IF(SUMIFS(TrackingTime!H:H,TrackingTime!F:F,Timer!B463,TrackingTime!C:C,Start!$F$3)&gt;0,SUMIFS(TrackingTime!H:H,TrackingTime!F:F,Timer!B463,TrackingTime!C:C,Start!$F$3),"")</f>
        <v/>
      </c>
      <c r="AC463" s="71" t="str">
        <f t="shared" si="458"/>
        <v/>
      </c>
    </row>
    <row r="464" spans="1:29" x14ac:dyDescent="0.25">
      <c r="A464" s="15"/>
      <c r="B464" s="63">
        <f t="shared" si="528"/>
        <v>46284</v>
      </c>
      <c r="C464">
        <f>IFERROR(IF(OR(L464="Fri",L464="Ferie",L464="Syk",L464="Omsorg",B464&lt;Start!$B$7),0,IF(IFERROR(MATCH(B464,Start!A$253:A$273,0),0)&gt;0,VLOOKUP(B464,Start!A$253:F$273,3,FALSE)/100*Start!$B$4,VLOOKUP(WEEKDAY(B464,2),Start!A$240:F$246,4,FALSE))),"")</f>
        <v>0</v>
      </c>
      <c r="D464">
        <f>IFERROR(IF(OR(U464="Fri",U464="Ferie",U464="Syk",U464="Omsorg",B464&lt;Start!$F$7),0,IF(IFERROR(MATCH(B464,Start!A$253:A$273,0),0)&gt;0,VLOOKUP(B464,Start!A$253:F$273,3,FALSE)/100*Start!$F$4,VLOOKUP(WEEKDAY(B464,2),Start!A$240:F$246,6,FALSE))),"")</f>
        <v>0</v>
      </c>
      <c r="E464">
        <f t="shared" ca="1" si="481"/>
        <v>0</v>
      </c>
      <c r="F464">
        <f>IFERROR(IF(YEAR(B464)=Start!$B$1,MONTH(B464),""),"")</f>
        <v>9</v>
      </c>
      <c r="G464" s="64" t="str">
        <f>IFERROR(VLOOKUP(B464,Start!A$111:B$273,2,FALSE),"")</f>
        <v/>
      </c>
      <c r="H464" s="21"/>
      <c r="I464" s="78">
        <v>0.41666666666666669</v>
      </c>
      <c r="J464" s="78">
        <v>0.41666666666666669</v>
      </c>
      <c r="K464" s="1" t="str">
        <f>IF(Start!$B$6="Ja","",IF(((J464-I464)*24)&gt;=5.5,"X",""))</f>
        <v/>
      </c>
      <c r="L464" s="1" t="str">
        <f t="shared" ref="L464:L465" si="530">IF(AND((J464-I464)=0,Z464=""),"",MAX((IF(K464="X",(J464-I464)*24-0.5,(J464-I464)*24)),Z464))</f>
        <v/>
      </c>
      <c r="M464" s="58"/>
      <c r="N464" s="21" t="str">
        <f t="shared" si="524"/>
        <v/>
      </c>
      <c r="O464" s="21" t="str">
        <f t="shared" si="525"/>
        <v/>
      </c>
      <c r="P464" s="2"/>
      <c r="Q464" s="21"/>
      <c r="R464" s="78">
        <v>0.41666666666666669</v>
      </c>
      <c r="S464" s="78">
        <v>0.41666666666666669</v>
      </c>
      <c r="T464" s="1" t="str">
        <f>IF(Start!$B$6="Ja","",IF(((S464-R464)*24)&gt;=5.5,"X",""))</f>
        <v/>
      </c>
      <c r="U464" s="1" t="str">
        <f t="shared" ref="U464:U465" si="531">IF(AND((S464-R464)=0,AB464=""),"",MAX((IF(T464="X",(S464-R464)*24-0.5,(S464-R464)*24)),AB464))</f>
        <v/>
      </c>
      <c r="V464" s="58"/>
      <c r="W464" s="21" t="str">
        <f t="shared" si="526"/>
        <v/>
      </c>
      <c r="X464" s="21" t="str">
        <f t="shared" si="527"/>
        <v/>
      </c>
      <c r="Z464" s="70" t="str">
        <f>IF(SUMIFS(TrackingTime!H:H,TrackingTime!F:F,Timer!B464,TrackingTime!C:C,"Hovedkontoret")&gt;0,SUMIFS(TrackingTime!H:H,TrackingTime!F:F,Timer!B464,TrackingTime!C:C,"Hovedkontoret"),"")</f>
        <v/>
      </c>
      <c r="AA464" s="71" t="str">
        <f t="shared" si="529"/>
        <v/>
      </c>
      <c r="AB464" t="str">
        <f>IF(SUMIFS(TrackingTime!H:H,TrackingTime!F:F,Timer!B464,TrackingTime!C:C,Start!$F$3)&gt;0,SUMIFS(TrackingTime!H:H,TrackingTime!F:F,Timer!B464,TrackingTime!C:C,Start!$F$3),"")</f>
        <v/>
      </c>
      <c r="AC464" s="71" t="str">
        <f t="shared" ref="AC464:AC527" si="532">IFERROR(AB464/24,"")</f>
        <v/>
      </c>
    </row>
    <row r="465" spans="1:29" x14ac:dyDescent="0.25">
      <c r="A465" s="15"/>
      <c r="B465" s="63">
        <f t="shared" si="528"/>
        <v>46285</v>
      </c>
      <c r="C465">
        <f>IFERROR(IF(OR(L465="Fri",L465="Ferie",L465="Syk",L465="Omsorg",B465&lt;Start!$B$7),0,IF(IFERROR(MATCH(B465,Start!A$253:A$273,0),0)&gt;0,VLOOKUP(B465,Start!A$253:F$273,3,FALSE)/100*Start!$B$4,VLOOKUP(WEEKDAY(B465,2),Start!A$240:F$246,4,FALSE))),"")</f>
        <v>0</v>
      </c>
      <c r="D465">
        <f>IFERROR(IF(OR(U465="Fri",U465="Ferie",U465="Syk",U465="Omsorg",B465&lt;Start!$F$7),0,IF(IFERROR(MATCH(B465,Start!A$253:A$273,0),0)&gt;0,VLOOKUP(B465,Start!A$253:F$273,3,FALSE)/100*Start!$F$4,VLOOKUP(WEEKDAY(B465,2),Start!A$240:F$246,6,FALSE))),"")</f>
        <v>0</v>
      </c>
      <c r="E465">
        <f t="shared" ca="1" si="481"/>
        <v>0</v>
      </c>
      <c r="F465">
        <f>IFERROR(IF(YEAR(B465)=Start!$B$1,MONTH(B465),""),"")</f>
        <v>9</v>
      </c>
      <c r="G465" s="64" t="str">
        <f>IFERROR(VLOOKUP(B465,Start!A$111:B$273,2,FALSE),"")</f>
        <v/>
      </c>
      <c r="H465" s="25"/>
      <c r="I465" s="78">
        <v>0.41666666666666669</v>
      </c>
      <c r="J465" s="78">
        <v>0.41666666666666669</v>
      </c>
      <c r="K465" s="1" t="str">
        <f>IF(Start!$B$6="Ja","",IF(((J465-I465)*24)&gt;=5.5,"X",""))</f>
        <v/>
      </c>
      <c r="L465" s="1" t="str">
        <f t="shared" si="530"/>
        <v/>
      </c>
      <c r="M465" s="58"/>
      <c r="N465" s="21" t="str">
        <f t="shared" si="524"/>
        <v/>
      </c>
      <c r="O465" s="21" t="str">
        <f t="shared" si="525"/>
        <v/>
      </c>
      <c r="Q465" s="25"/>
      <c r="R465" s="78">
        <v>0.41666666666666669</v>
      </c>
      <c r="S465" s="78">
        <v>0.41666666666666669</v>
      </c>
      <c r="T465" s="1" t="str">
        <f>IF(Start!$B$6="Ja","",IF(((S465-R465)*24)&gt;=5.5,"X",""))</f>
        <v/>
      </c>
      <c r="U465" s="1" t="str">
        <f t="shared" si="531"/>
        <v/>
      </c>
      <c r="V465" s="58"/>
      <c r="W465" s="21" t="str">
        <f t="shared" si="526"/>
        <v/>
      </c>
      <c r="X465" s="21" t="str">
        <f t="shared" si="527"/>
        <v/>
      </c>
      <c r="Z465" s="70" t="str">
        <f>IF(SUMIFS(TrackingTime!H:H,TrackingTime!F:F,Timer!B465,TrackingTime!C:C,"Hovedkontoret")&gt;0,SUMIFS(TrackingTime!H:H,TrackingTime!F:F,Timer!B465,TrackingTime!C:C,"Hovedkontoret"),"")</f>
        <v/>
      </c>
      <c r="AA465" s="71" t="str">
        <f t="shared" si="529"/>
        <v/>
      </c>
      <c r="AB465" t="str">
        <f>IF(SUMIFS(TrackingTime!H:H,TrackingTime!F:F,Timer!B465,TrackingTime!C:C,Start!$F$3)&gt;0,SUMIFS(TrackingTime!H:H,TrackingTime!F:F,Timer!B465,TrackingTime!C:C,Start!$F$3),"")</f>
        <v/>
      </c>
      <c r="AC465" s="71" t="str">
        <f t="shared" si="532"/>
        <v/>
      </c>
    </row>
    <row r="466" spans="1:29" x14ac:dyDescent="0.25">
      <c r="A466" s="15"/>
      <c r="B466" s="4" t="s">
        <v>11</v>
      </c>
      <c r="C466" s="24"/>
      <c r="D466" s="24"/>
      <c r="E466" s="24">
        <f t="shared" ca="1" si="481"/>
        <v>0</v>
      </c>
      <c r="F466" s="24" t="str">
        <f>IFERROR(IF(YEAR(B466)=Start!$B$1,MONTH(B466),""),"")</f>
        <v/>
      </c>
      <c r="G466" s="64" t="str">
        <f>IFERROR(VLOOKUP(B466,Start!A$111:B$273,2,FALSE),"")</f>
        <v/>
      </c>
      <c r="H466" s="4"/>
      <c r="I466" s="4"/>
      <c r="J466" s="4"/>
      <c r="K466" s="4"/>
      <c r="L466" s="5">
        <f t="shared" si="515"/>
        <v>0</v>
      </c>
      <c r="N466" s="24"/>
      <c r="O466" s="39">
        <f t="shared" ref="O466" si="533">SUM(O459:O465)</f>
        <v>0</v>
      </c>
      <c r="P466" s="40"/>
      <c r="Q466" s="41"/>
      <c r="R466" s="4"/>
      <c r="S466" s="4"/>
      <c r="T466" s="4"/>
      <c r="U466" s="5">
        <f t="shared" ref="U466" si="534">SUM($U459:$U465)</f>
        <v>0</v>
      </c>
      <c r="V466" s="58"/>
      <c r="W466" s="39"/>
      <c r="X466" s="39">
        <f t="shared" ref="X466:X514" si="535">SUM(X459:X465)</f>
        <v>0</v>
      </c>
      <c r="Z466" s="70" t="str">
        <f>IF(SUMIFS(TrackingTime!H:H,TrackingTime!F:F,Timer!B466,TrackingTime!C:C,"Hovedkontoret")&gt;0,SUMIFS(TrackingTime!H:H,TrackingTime!F:F,Timer!B466,TrackingTime!C:C,"Hovedkontoret"),"")</f>
        <v/>
      </c>
      <c r="AA466" s="71" t="str">
        <f t="shared" si="529"/>
        <v/>
      </c>
      <c r="AB466" t="str">
        <f>IF(SUMIFS(TrackingTime!H:H,TrackingTime!F:F,Timer!B466,TrackingTime!C:C,Start!$F$3)&gt;0,SUMIFS(TrackingTime!H:H,TrackingTime!F:F,Timer!B466,TrackingTime!C:C,Start!$F$3),"")</f>
        <v/>
      </c>
      <c r="AC466" s="71" t="str">
        <f t="shared" si="532"/>
        <v/>
      </c>
    </row>
    <row r="467" spans="1:29" x14ac:dyDescent="0.25">
      <c r="A467" s="15"/>
      <c r="B467" t="s">
        <v>90</v>
      </c>
      <c r="E467">
        <f t="shared" ca="1" si="481"/>
        <v>0</v>
      </c>
      <c r="F467" t="str">
        <f>IFERROR(IF(YEAR(B467)=Start!$B$1,MONTH(B467),""),"")</f>
        <v/>
      </c>
      <c r="G467" s="64" t="str">
        <f>IFERROR(VLOOKUP(B467,Start!A$111:B$273,2,FALSE),"")</f>
        <v/>
      </c>
      <c r="L467" s="1">
        <f t="shared" si="518"/>
        <v>0</v>
      </c>
      <c r="M467" s="1"/>
      <c r="N467" s="1"/>
      <c r="O467" s="21">
        <f t="shared" ref="O467" si="536">L467</f>
        <v>0</v>
      </c>
      <c r="P467" s="40"/>
      <c r="Q467" s="21"/>
      <c r="U467" s="1">
        <f t="shared" ref="U467" si="537">SUMIFS(D459:D465,F459:F465,"&gt;0")</f>
        <v>0</v>
      </c>
      <c r="V467" s="1"/>
      <c r="W467" s="1"/>
      <c r="X467" s="21">
        <f>U467</f>
        <v>0</v>
      </c>
      <c r="Z467" s="70" t="str">
        <f>IF(SUMIFS(TrackingTime!H:H,TrackingTime!F:F,Timer!B467,TrackingTime!C:C,"Hovedkontoret")&gt;0,SUMIFS(TrackingTime!H:H,TrackingTime!F:F,Timer!B467,TrackingTime!C:C,"Hovedkontoret"),"")</f>
        <v/>
      </c>
      <c r="AA467" s="71" t="str">
        <f t="shared" si="529"/>
        <v/>
      </c>
      <c r="AB467" t="str">
        <f>IF(SUMIFS(TrackingTime!H:H,TrackingTime!F:F,Timer!B467,TrackingTime!C:C,Start!$F$3)&gt;0,SUMIFS(TrackingTime!H:H,TrackingTime!F:F,Timer!B467,TrackingTime!C:C,Start!$F$3),"")</f>
        <v/>
      </c>
      <c r="AC467" s="71" t="str">
        <f t="shared" si="532"/>
        <v/>
      </c>
    </row>
    <row r="468" spans="1:29" x14ac:dyDescent="0.25">
      <c r="A468" s="16">
        <f>B465-B459-1</f>
        <v>5</v>
      </c>
      <c r="B468" t="s">
        <v>117</v>
      </c>
      <c r="E468">
        <f t="shared" ca="1" si="481"/>
        <v>0</v>
      </c>
      <c r="F468" t="str">
        <f>IFERROR(IF(YEAR(B468)=Start!$B$1,MONTH(B468),""),"")</f>
        <v/>
      </c>
      <c r="G468" s="64" t="str">
        <f>IFERROR(VLOOKUP(B468,Start!A$111:B$273,2,FALSE),"")</f>
        <v/>
      </c>
      <c r="L468" s="77">
        <f t="shared" ca="1" si="521"/>
        <v>0</v>
      </c>
      <c r="O468" s="21">
        <f t="shared" ref="O468" si="538">O466-O467</f>
        <v>0</v>
      </c>
      <c r="P468" s="21"/>
      <c r="Q468" s="21"/>
      <c r="U468" s="1">
        <f t="shared" ref="U468" ca="1" si="539">U466-U467*(IF(NETWORKDAYS($B459,TODAY())&lt;0,0,IF(NETWORKDAYS($B459,TODAY())&lt;=$A468,NETWORKDAYS($B459,TODAY()),$A468)))/$A468</f>
        <v>0</v>
      </c>
      <c r="V468" s="58"/>
      <c r="W468" s="21"/>
      <c r="X468" s="21">
        <f>X466-X467</f>
        <v>0</v>
      </c>
      <c r="Z468" s="70" t="str">
        <f>IF(SUMIFS(TrackingTime!H:H,TrackingTime!F:F,Timer!B468,TrackingTime!C:C,"Hovedkontoret")&gt;0,SUMIFS(TrackingTime!H:H,TrackingTime!F:F,Timer!B468,TrackingTime!C:C,"Hovedkontoret"),"")</f>
        <v/>
      </c>
      <c r="AA468" s="71" t="str">
        <f t="shared" si="529"/>
        <v/>
      </c>
      <c r="AB468" t="str">
        <f>IF(SUMIFS(TrackingTime!H:H,TrackingTime!F:F,Timer!B468,TrackingTime!C:C,Start!$F$3)&gt;0,SUMIFS(TrackingTime!H:H,TrackingTime!F:F,Timer!B468,TrackingTime!C:C,Start!$F$3),"")</f>
        <v/>
      </c>
      <c r="AC468" s="71" t="str">
        <f t="shared" si="532"/>
        <v/>
      </c>
    </row>
    <row r="469" spans="1:29" x14ac:dyDescent="0.25">
      <c r="A469" s="15"/>
      <c r="E469">
        <f t="shared" ca="1" si="481"/>
        <v>1</v>
      </c>
      <c r="F469" t="str">
        <f>IFERROR(IF(YEAR(B469)=Start!$B$1,MONTH(B469),""),"")</f>
        <v/>
      </c>
      <c r="G469" s="64" t="str">
        <f>IFERROR(VLOOKUP(B469,Start!A$111:B$273,2,FALSE),"")</f>
        <v/>
      </c>
      <c r="O469" s="2"/>
      <c r="P469" s="2"/>
      <c r="U469" s="1"/>
      <c r="V469" s="7"/>
      <c r="X469" s="2"/>
      <c r="Z469" s="70" t="str">
        <f>IF(SUMIFS(TrackingTime!H:H,TrackingTime!F:F,Timer!B469,TrackingTime!C:C,"Hovedkontoret")&gt;0,SUMIFS(TrackingTime!H:H,TrackingTime!F:F,Timer!B469,TrackingTime!C:C,"Hovedkontoret"),"")</f>
        <v/>
      </c>
      <c r="AA469" s="71" t="str">
        <f t="shared" si="529"/>
        <v/>
      </c>
      <c r="AB469" t="str">
        <f>IF(SUMIFS(TrackingTime!H:H,TrackingTime!F:F,Timer!B469,TrackingTime!C:C,Start!$F$3)&gt;0,SUMIFS(TrackingTime!H:H,TrackingTime!F:F,Timer!B469,TrackingTime!C:C,Start!$F$3),"")</f>
        <v/>
      </c>
      <c r="AC469" s="71" t="str">
        <f t="shared" si="532"/>
        <v/>
      </c>
    </row>
    <row r="470" spans="1:29" x14ac:dyDescent="0.25">
      <c r="A470" s="2" t="s">
        <v>82</v>
      </c>
      <c r="B470" s="14" t="s">
        <v>83</v>
      </c>
      <c r="E470">
        <f t="shared" ca="1" si="481"/>
        <v>0</v>
      </c>
      <c r="F470" t="str">
        <f>IFERROR(IF(YEAR(B470)=Start!$B$1,MONTH(B470),""),"")</f>
        <v/>
      </c>
      <c r="G470" s="64" t="str">
        <f>IFERROR(VLOOKUP(B470,Start!A$111:B$273,2,FALSE),"")</f>
        <v/>
      </c>
      <c r="H470" s="2" t="s">
        <v>86</v>
      </c>
      <c r="I470" s="2" t="s">
        <v>125</v>
      </c>
      <c r="J470" s="2" t="s">
        <v>126</v>
      </c>
      <c r="K470" s="2" t="s">
        <v>127</v>
      </c>
      <c r="L470" s="3" t="s">
        <v>87</v>
      </c>
      <c r="M470" s="6"/>
      <c r="N470" s="2" t="s">
        <v>88</v>
      </c>
      <c r="O470" s="2" t="s">
        <v>89</v>
      </c>
      <c r="P470" s="2"/>
      <c r="Q470" s="2" t="s">
        <v>86</v>
      </c>
      <c r="R470" s="2" t="s">
        <v>125</v>
      </c>
      <c r="S470" s="2" t="s">
        <v>126</v>
      </c>
      <c r="T470" s="2" t="s">
        <v>127</v>
      </c>
      <c r="U470" s="3" t="s">
        <v>87</v>
      </c>
      <c r="V470" s="6"/>
      <c r="W470" s="2" t="s">
        <v>88</v>
      </c>
      <c r="X470" s="2" t="s">
        <v>89</v>
      </c>
      <c r="Z470" s="70" t="str">
        <f>IF(SUMIFS(TrackingTime!H:H,TrackingTime!F:F,Timer!B470,TrackingTime!C:C,"Hovedkontoret")&gt;0,SUMIFS(TrackingTime!H:H,TrackingTime!F:F,Timer!B470,TrackingTime!C:C,"Hovedkontoret"),"")</f>
        <v/>
      </c>
      <c r="AA470" s="71" t="str">
        <f t="shared" si="529"/>
        <v/>
      </c>
      <c r="AB470" t="str">
        <f>IF(SUMIFS(TrackingTime!H:H,TrackingTime!F:F,Timer!B470,TrackingTime!C:C,Start!$F$3)&gt;0,SUMIFS(TrackingTime!H:H,TrackingTime!F:F,Timer!B470,TrackingTime!C:C,Start!$F$3),"")</f>
        <v/>
      </c>
      <c r="AC470" s="71" t="str">
        <f t="shared" si="532"/>
        <v/>
      </c>
    </row>
    <row r="471" spans="1:29" x14ac:dyDescent="0.25">
      <c r="A471" s="15">
        <f>WEEKNUM(B471,21)</f>
        <v>39</v>
      </c>
      <c r="B471" s="63">
        <f>B465+(DAY(1))</f>
        <v>46286</v>
      </c>
      <c r="C471" t="str">
        <f>IFERROR(IF(OR(L471="Fri",L471="Ferie",L471="Syk",L471="Omsorg",B471&lt;Start!$B$7),0,IF(IFERROR(MATCH(B471,Start!A$253:A$273,0),0)&gt;0,VLOOKUP(B471,Start!A$253:F$273,3,FALSE)/100*Start!$B$4,VLOOKUP(WEEKDAY(B471,2),Start!A$240:F$246,4,FALSE))),"")</f>
        <v/>
      </c>
      <c r="D471" t="str">
        <f>IFERROR(IF(OR(U471="Fri",U471="Ferie",U471="Syk",U471="Omsorg",B471&lt;Start!$F$7),0,IF(IFERROR(MATCH(B471,Start!A$253:A$273,0),0)&gt;0,VLOOKUP(B471,Start!A$253:F$273,3,FALSE)/100*Start!$F$4,VLOOKUP(WEEKDAY(B471,2),Start!A$240:F$246,6,FALSE))),"")</f>
        <v/>
      </c>
      <c r="E471">
        <f t="shared" ca="1" si="481"/>
        <v>0</v>
      </c>
      <c r="F471">
        <f>IFERROR(IF(YEAR(B471)=Start!$B$1,MONTH(B471),""),"")</f>
        <v>9</v>
      </c>
      <c r="G471" s="64" t="str">
        <f>IFERROR(VLOOKUP(B471,Start!A$111:B$273,2,FALSE),"")</f>
        <v/>
      </c>
      <c r="H471" s="21"/>
      <c r="I471" s="78">
        <v>0.33333333333333331</v>
      </c>
      <c r="J471" s="78">
        <v>0.33333333333333331</v>
      </c>
      <c r="K471" s="1" t="str">
        <f>IF(Start!$B$6="Ja","",IF(((J471-I471)*24)&gt;=5.5,"X",""))</f>
        <v/>
      </c>
      <c r="L471" s="1" t="str">
        <f>IF(_xlfn.IFNA(MATCH($A471,Start!$H$3:$H$11,0),0)&gt;0,"Ferie",IFERROR(IF(VLOOKUP(B471,Start!A$165:B$234,2,FALSE)&gt;0,"Fri",0),IF(AND((J471-I471)=0,Z471=""),"",MAX((IF(K471="X",(J471-I471)*24-0.5,(J471-I471)*24)),Z471))))</f>
        <v/>
      </c>
      <c r="M471" s="58"/>
      <c r="N471" s="21" t="str">
        <f t="shared" ref="N471:N477" si="540">IF(H471=0,"",H471)</f>
        <v/>
      </c>
      <c r="O471" s="21" t="str">
        <f t="shared" ref="O471:O477" si="541">IF(L471=0,"",L471)</f>
        <v/>
      </c>
      <c r="P471" s="2"/>
      <c r="Q471" s="21"/>
      <c r="R471" s="78">
        <v>0.33333333333333331</v>
      </c>
      <c r="S471" s="78">
        <v>0.33333333333333331</v>
      </c>
      <c r="T471" s="1" t="str">
        <f>IF(Start!$B$6="Ja","",IF(((S471-R471)*24)&gt;=5.5,"X",""))</f>
        <v/>
      </c>
      <c r="U471" s="1" t="str">
        <f>IF(_xlfn.IFNA(MATCH($A$15,Start!$H$3:$H$11,0),0)&gt;0,"Ferie",(IF(L471="fri","Fri",(IF(L471="syk","Syk",IF(L471="Ferie","Ferie",IF(AND((S471-R471)=0,AB471=""),"",MAX((IF(T471="X",(S471-R471)*24-0.5,(S471-R471)*24)),AB471))))))))</f>
        <v/>
      </c>
      <c r="V471" s="58"/>
      <c r="W471" s="21" t="str">
        <f t="shared" ref="W471:W477" si="542">IF(Q471=0,"",Q471)</f>
        <v/>
      </c>
      <c r="X471" s="21" t="str">
        <f t="shared" ref="X471:X477" si="543">IF(U471=0,"",U471)</f>
        <v/>
      </c>
      <c r="Z471" s="70" t="str">
        <f>IF(SUMIFS(TrackingTime!H:H,TrackingTime!F:F,Timer!B471,TrackingTime!C:C,"Hovedkontoret")&gt;0,SUMIFS(TrackingTime!H:H,TrackingTime!F:F,Timer!B471,TrackingTime!C:C,"Hovedkontoret"),"")</f>
        <v/>
      </c>
      <c r="AA471" s="71" t="str">
        <f t="shared" si="529"/>
        <v/>
      </c>
      <c r="AB471" t="str">
        <f>IF(SUMIFS(TrackingTime!H:H,TrackingTime!F:F,Timer!B471,TrackingTime!C:C,Start!$F$3)&gt;0,SUMIFS(TrackingTime!H:H,TrackingTime!F:F,Timer!B471,TrackingTime!C:C,Start!$F$3),"")</f>
        <v/>
      </c>
      <c r="AC471" s="71" t="str">
        <f t="shared" si="532"/>
        <v/>
      </c>
    </row>
    <row r="472" spans="1:29" x14ac:dyDescent="0.25">
      <c r="A472" s="15"/>
      <c r="B472" s="63">
        <f t="shared" ref="B472:B477" si="544">B471+DAY(1)</f>
        <v>46287</v>
      </c>
      <c r="C472" t="str">
        <f>IFERROR(IF(OR(L472="Fri",L472="Ferie",L472="Syk",L472="Omsorg",B472&lt;Start!$B$7),0,IF(IFERROR(MATCH(B472,Start!A$253:A$273,0),0)&gt;0,VLOOKUP(B472,Start!A$253:F$273,3,FALSE)/100*Start!$B$4,VLOOKUP(WEEKDAY(B472,2),Start!A$240:F$246,4,FALSE))),"")</f>
        <v/>
      </c>
      <c r="D472" t="str">
        <f>IFERROR(IF(OR(U472="Fri",U472="Ferie",U472="Syk",U472="Omsorg",B472&lt;Start!$F$7),0,IF(IFERROR(MATCH(B472,Start!A$253:A$273,0),0)&gt;0,VLOOKUP(B472,Start!A$253:F$273,3,FALSE)/100*Start!$F$4,VLOOKUP(WEEKDAY(B472,2),Start!A$240:F$246,6,FALSE))),"")</f>
        <v/>
      </c>
      <c r="E472">
        <f t="shared" ca="1" si="481"/>
        <v>0</v>
      </c>
      <c r="F472">
        <f>IFERROR(IF(YEAR(B472)=Start!$B$1,MONTH(B472),""),"")</f>
        <v>9</v>
      </c>
      <c r="G472" s="64" t="str">
        <f>IFERROR(VLOOKUP(B472,Start!A$111:B$273,2,FALSE),"")</f>
        <v/>
      </c>
      <c r="H472" s="21"/>
      <c r="I472" s="78">
        <v>0.33333333333333331</v>
      </c>
      <c r="J472" s="78">
        <v>0.33333333333333331</v>
      </c>
      <c r="K472" s="1" t="str">
        <f>IF(Start!$B$6="Ja","",IF(((J472-I472)*24)&gt;=5.5,"X",""))</f>
        <v/>
      </c>
      <c r="L472" s="1" t="str">
        <f>IF(_xlfn.IFNA(MATCH($A471,Start!$H$3:$H$11,0),0)&gt;0,"Ferie",IFERROR(IF(VLOOKUP($B472,Start!$A$165:$B$234,2,FALSE)&gt;0,"Fri",0),IF(AND((J472-I472)=0,Z472=""),"",MAX((IF(K472="X",(J472-I472)*24-0.5,(J472-I472)*24)),Z472))))</f>
        <v/>
      </c>
      <c r="M472" s="58"/>
      <c r="N472" s="21" t="str">
        <f t="shared" si="540"/>
        <v/>
      </c>
      <c r="O472" s="21" t="str">
        <f t="shared" si="541"/>
        <v/>
      </c>
      <c r="P472" s="2"/>
      <c r="Q472" s="21"/>
      <c r="R472" s="78">
        <v>0.33333333333333331</v>
      </c>
      <c r="S472" s="78">
        <v>0.33333333333333331</v>
      </c>
      <c r="T472" s="1" t="str">
        <f>IF(Start!$B$6="Ja","",IF(((S472-R472)*24)&gt;=5.5,"X",""))</f>
        <v/>
      </c>
      <c r="U472" s="1" t="str">
        <f>IF(_xlfn.IFNA(MATCH($A$15,Start!$H$3:$H$11,0),0)&gt;0,"Ferie",(IF(L472="fri","Fri",(IF(L472="syk","Syk",IF(L472="Ferie","Ferie",IF(AND((S472-R472)=0,AB472=""),"",MAX((IF(T472="X",(S472-R472)*24-0.5,(S472-R472)*24)),AB472))))))))</f>
        <v/>
      </c>
      <c r="V472" s="58"/>
      <c r="W472" s="21" t="str">
        <f t="shared" si="542"/>
        <v/>
      </c>
      <c r="X472" s="21" t="str">
        <f t="shared" si="543"/>
        <v/>
      </c>
      <c r="Z472" s="70" t="str">
        <f>IF(SUMIFS(TrackingTime!H:H,TrackingTime!F:F,Timer!B472,TrackingTime!C:C,"Hovedkontoret")&gt;0,SUMIFS(TrackingTime!H:H,TrackingTime!F:F,Timer!B472,TrackingTime!C:C,"Hovedkontoret"),"")</f>
        <v/>
      </c>
      <c r="AA472" s="71" t="str">
        <f t="shared" si="529"/>
        <v/>
      </c>
      <c r="AB472" t="str">
        <f>IF(SUMIFS(TrackingTime!H:H,TrackingTime!F:F,Timer!B472,TrackingTime!C:C,Start!$F$3)&gt;0,SUMIFS(TrackingTime!H:H,TrackingTime!F:F,Timer!B472,TrackingTime!C:C,Start!$F$3),"")</f>
        <v/>
      </c>
      <c r="AC472" s="71" t="str">
        <f t="shared" si="532"/>
        <v/>
      </c>
    </row>
    <row r="473" spans="1:29" x14ac:dyDescent="0.25">
      <c r="A473" s="15"/>
      <c r="B473" s="63">
        <f t="shared" si="544"/>
        <v>46288</v>
      </c>
      <c r="C473" t="str">
        <f>IFERROR(IF(OR(L473="Fri",L473="Ferie",L473="Syk",L473="Omsorg",B473&lt;Start!$B$7),0,IF(IFERROR(MATCH(B473,Start!A$253:A$273,0),0)&gt;0,VLOOKUP(B473,Start!A$253:F$273,3,FALSE)/100*Start!$B$4,VLOOKUP(WEEKDAY(B473,2),Start!A$240:F$246,4,FALSE))),"")</f>
        <v/>
      </c>
      <c r="D473" t="str">
        <f>IFERROR(IF(OR(U473="Fri",U473="Ferie",U473="Syk",U473="Omsorg",B473&lt;Start!$F$7),0,IF(IFERROR(MATCH(B473,Start!A$253:A$273,0),0)&gt;0,VLOOKUP(B473,Start!A$253:F$273,3,FALSE)/100*Start!$F$4,VLOOKUP(WEEKDAY(B473,2),Start!A$240:F$246,6,FALSE))),"")</f>
        <v/>
      </c>
      <c r="E473">
        <f t="shared" ca="1" si="481"/>
        <v>0</v>
      </c>
      <c r="F473">
        <f>IFERROR(IF(YEAR(B473)=Start!$B$1,MONTH(B473),""),"")</f>
        <v>9</v>
      </c>
      <c r="G473" s="64" t="str">
        <f>IFERROR(VLOOKUP(B473,Start!A$111:B$273,2,FALSE),"")</f>
        <v/>
      </c>
      <c r="H473" s="21"/>
      <c r="I473" s="78">
        <v>0.33333333333333331</v>
      </c>
      <c r="J473" s="78">
        <v>0.33333333333333331</v>
      </c>
      <c r="K473" s="1" t="str">
        <f>IF(Start!$B$6="Ja","",IF(((J473-I473)*24)&gt;=5.5,"X",""))</f>
        <v/>
      </c>
      <c r="L473" s="1" t="str">
        <f>IF(_xlfn.IFNA(MATCH($A471,Start!$H$3:$H$11,0),0)&gt;0,"Ferie",IFERROR(IF(VLOOKUP(B473,Start!A$165:B$234,2,FALSE)&gt;0,"Fri",0),IF(AND((J473-I473)=0,Z473=""),"",MAX((IF(K473="X",(J473-I473)*24-0.5,(J473-I473)*24)),Z473))))</f>
        <v/>
      </c>
      <c r="M473" s="58"/>
      <c r="N473" s="21" t="str">
        <f t="shared" si="540"/>
        <v/>
      </c>
      <c r="O473" s="21" t="str">
        <f t="shared" si="541"/>
        <v/>
      </c>
      <c r="P473" s="2"/>
      <c r="Q473" s="21"/>
      <c r="R473" s="78">
        <v>0.33333333333333331</v>
      </c>
      <c r="S473" s="78">
        <v>0.33333333333333331</v>
      </c>
      <c r="T473" s="1" t="str">
        <f>IF(Start!$B$6="Ja","",IF(((S473-R473)*24)&gt;=5.5,"X",""))</f>
        <v/>
      </c>
      <c r="U473" s="1" t="str">
        <f>IF(_xlfn.IFNA(MATCH($A$15,Start!$H$3:$H$11,0),0)&gt;0,"Ferie",(IF(L473="fri","Fri",(IF(L473="syk","Syk",IF(L473="Ferie","Ferie",IF(AND((S473-R473)=0,AB473=""),"",MAX((IF(T473="X",(S473-R473)*24-0.5,(S473-R473)*24)),AB473))))))))</f>
        <v/>
      </c>
      <c r="V473" s="58"/>
      <c r="W473" s="21" t="str">
        <f t="shared" si="542"/>
        <v/>
      </c>
      <c r="X473" s="21" t="str">
        <f t="shared" si="543"/>
        <v/>
      </c>
      <c r="Z473" s="70" t="str">
        <f>IF(SUMIFS(TrackingTime!H:H,TrackingTime!F:F,Timer!B473,TrackingTime!C:C,"Hovedkontoret")&gt;0,SUMIFS(TrackingTime!H:H,TrackingTime!F:F,Timer!B473,TrackingTime!C:C,"Hovedkontoret"),"")</f>
        <v/>
      </c>
      <c r="AA473" s="71" t="str">
        <f t="shared" si="529"/>
        <v/>
      </c>
      <c r="AB473" t="str">
        <f>IF(SUMIFS(TrackingTime!H:H,TrackingTime!F:F,Timer!B473,TrackingTime!C:C,Start!$F$3)&gt;0,SUMIFS(TrackingTime!H:H,TrackingTime!F:F,Timer!B473,TrackingTime!C:C,Start!$F$3),"")</f>
        <v/>
      </c>
      <c r="AC473" s="71" t="str">
        <f t="shared" si="532"/>
        <v/>
      </c>
    </row>
    <row r="474" spans="1:29" x14ac:dyDescent="0.25">
      <c r="A474" s="15"/>
      <c r="B474" s="63">
        <f t="shared" si="544"/>
        <v>46289</v>
      </c>
      <c r="C474" t="str">
        <f>IFERROR(IF(OR(L474="Fri",L474="Ferie",L474="Syk",L474="Omsorg",B474&lt;Start!$B$7),0,IF(IFERROR(MATCH(B474,Start!A$253:A$273,0),0)&gt;0,VLOOKUP(B474,Start!A$253:F$273,3,FALSE)/100*Start!$B$4,VLOOKUP(WEEKDAY(B474,2),Start!A$240:F$246,4,FALSE))),"")</f>
        <v/>
      </c>
      <c r="D474" t="str">
        <f>IFERROR(IF(OR(U474="Fri",U474="Ferie",U474="Syk",U474="Omsorg",B474&lt;Start!$F$7),0,IF(IFERROR(MATCH(B474,Start!A$253:A$273,0),0)&gt;0,VLOOKUP(B474,Start!A$253:F$273,3,FALSE)/100*Start!$F$4,VLOOKUP(WEEKDAY(B474,2),Start!A$240:F$246,6,FALSE))),"")</f>
        <v/>
      </c>
      <c r="E474">
        <f t="shared" ca="1" si="481"/>
        <v>0</v>
      </c>
      <c r="F474">
        <f>IFERROR(IF(YEAR(B474)=Start!$B$1,MONTH(B474),""),"")</f>
        <v>9</v>
      </c>
      <c r="G474" s="64" t="str">
        <f>IFERROR(VLOOKUP(B474,Start!A$111:B$273,2,FALSE),"")</f>
        <v/>
      </c>
      <c r="H474" s="21"/>
      <c r="I474" s="78">
        <v>0.33333333333333331</v>
      </c>
      <c r="J474" s="78">
        <v>0.33333333333333331</v>
      </c>
      <c r="K474" s="1" t="str">
        <f>IF(Start!$B$6="Ja","",IF(((J474-I474)*24)&gt;=5.5,"X",""))</f>
        <v/>
      </c>
      <c r="L474" s="1" t="str">
        <f>IF(_xlfn.IFNA(MATCH($A471,Start!$H$3:$H$11,0),0)&gt;0,"Ferie",IFERROR(IF(VLOOKUP(B474,Start!A$165:B$234,2,FALSE)&gt;0,"Fri",0),IF(AND((J474-I474)=0,Z474=""),"",MAX((IF(K474="X",(J474-I474)*24-0.5,(J474-I474)*24)),Z474))))</f>
        <v/>
      </c>
      <c r="M474" s="58"/>
      <c r="N474" s="21" t="str">
        <f t="shared" si="540"/>
        <v/>
      </c>
      <c r="O474" s="21" t="str">
        <f t="shared" si="541"/>
        <v/>
      </c>
      <c r="P474" s="2"/>
      <c r="Q474" s="21"/>
      <c r="R474" s="78">
        <v>0.33333333333333331</v>
      </c>
      <c r="S474" s="78">
        <v>0.33333333333333331</v>
      </c>
      <c r="T474" s="1" t="str">
        <f>IF(Start!$B$6="Ja","",IF(((S474-R474)*24)&gt;=5.5,"X",""))</f>
        <v/>
      </c>
      <c r="U474" s="1" t="str">
        <f>IF(_xlfn.IFNA(MATCH($A$15,Start!$H$3:$H$11,0),0)&gt;0,"Ferie",(IF(L474="fri","Fri",(IF(L474="syk","Syk",IF(L474="Ferie","Ferie",IF(AND((S474-R474)=0,AB474=""),"",MAX((IF(T474="X",(S474-R474)*24-0.5,(S474-R474)*24)),AB474))))))))</f>
        <v/>
      </c>
      <c r="V474" s="58"/>
      <c r="W474" s="21" t="str">
        <f t="shared" si="542"/>
        <v/>
      </c>
      <c r="X474" s="21" t="str">
        <f t="shared" si="543"/>
        <v/>
      </c>
      <c r="Z474" s="70" t="str">
        <f>IF(SUMIFS(TrackingTime!H:H,TrackingTime!F:F,Timer!B474,TrackingTime!C:C,"Hovedkontoret")&gt;0,SUMIFS(TrackingTime!H:H,TrackingTime!F:F,Timer!B474,TrackingTime!C:C,"Hovedkontoret"),"")</f>
        <v/>
      </c>
      <c r="AA474" s="71" t="str">
        <f t="shared" si="529"/>
        <v/>
      </c>
      <c r="AB474" t="str">
        <f>IF(SUMIFS(TrackingTime!H:H,TrackingTime!F:F,Timer!B474,TrackingTime!C:C,Start!$F$3)&gt;0,SUMIFS(TrackingTime!H:H,TrackingTime!F:F,Timer!B474,TrackingTime!C:C,Start!$F$3),"")</f>
        <v/>
      </c>
      <c r="AC474" s="71" t="str">
        <f t="shared" si="532"/>
        <v/>
      </c>
    </row>
    <row r="475" spans="1:29" x14ac:dyDescent="0.25">
      <c r="A475" s="15"/>
      <c r="B475" s="63">
        <f t="shared" si="544"/>
        <v>46290</v>
      </c>
      <c r="C475" t="str">
        <f>IFERROR(IF(OR(L475="Fri",L475="Ferie",L475="Syk",L475="Omsorg",B475&lt;Start!$B$7),0,IF(IFERROR(MATCH(B475,Start!A$253:A$273,0),0)&gt;0,VLOOKUP(B475,Start!A$253:F$273,3,FALSE)/100*Start!$B$4,VLOOKUP(WEEKDAY(B475,2),Start!A$240:F$246,4,FALSE))),"")</f>
        <v/>
      </c>
      <c r="D475" t="str">
        <f>IFERROR(IF(OR(U475="Fri",U475="Ferie",U475="Syk",U475="Omsorg",B475&lt;Start!$F$7),0,IF(IFERROR(MATCH(B475,Start!A$253:A$273,0),0)&gt;0,VLOOKUP(B475,Start!A$253:F$273,3,FALSE)/100*Start!$F$4,VLOOKUP(WEEKDAY(B475,2),Start!A$240:F$246,6,FALSE))),"")</f>
        <v/>
      </c>
      <c r="E475">
        <f t="shared" ca="1" si="481"/>
        <v>0</v>
      </c>
      <c r="F475">
        <f>IFERROR(IF(YEAR(B475)=Start!$B$1,MONTH(B475),""),"")</f>
        <v>9</v>
      </c>
      <c r="G475" s="64" t="str">
        <f>IFERROR(VLOOKUP(B475,Start!A$111:B$273,2,FALSE),"")</f>
        <v/>
      </c>
      <c r="H475" s="21"/>
      <c r="I475" s="78">
        <v>0.33333333333333331</v>
      </c>
      <c r="J475" s="78">
        <v>0.33333333333333331</v>
      </c>
      <c r="K475" s="1" t="str">
        <f>IF(Start!$B$6="Ja","",IF(((J475-I475)*24)&gt;=5.5,"X",""))</f>
        <v/>
      </c>
      <c r="L475" s="1" t="str">
        <f>IF(_xlfn.IFNA(MATCH($A471,Start!$H$3:$H$11,0),0)&gt;0,"Ferie",IFERROR(IF(VLOOKUP(B475,Start!A$165:B$234,2,FALSE)&gt;0,"Fri",0),IF(AND((J475-I475)=0,Z475=""),"",MAX((IF(K475="X",(J475-I475)*24-0.5,(J475-I475)*24)),Z475))))</f>
        <v/>
      </c>
      <c r="M475" s="58"/>
      <c r="N475" s="21" t="str">
        <f t="shared" si="540"/>
        <v/>
      </c>
      <c r="O475" s="21" t="str">
        <f t="shared" si="541"/>
        <v/>
      </c>
      <c r="P475" s="2"/>
      <c r="Q475" s="21"/>
      <c r="R475" s="78">
        <v>0.33333333333333331</v>
      </c>
      <c r="S475" s="78">
        <v>0.33333333333333331</v>
      </c>
      <c r="T475" s="1" t="str">
        <f>IF(Start!$B$6="Ja","",IF(((S475-R475)*24)&gt;=5.5,"X",""))</f>
        <v/>
      </c>
      <c r="U475" s="1" t="str">
        <f>IF(_xlfn.IFNA(MATCH($A$15,Start!$H$3:$H$11,0),0)&gt;0,"Ferie",(IF(L475="fri","Fri",(IF(L475="syk","Syk",IF(L475="Ferie","Ferie",IF(AND((S475-R475)=0,AB475=""),"",MAX((IF(T475="X",(S475-R475)*24-0.5,(S475-R475)*24)),AB475))))))))</f>
        <v/>
      </c>
      <c r="V475" s="58"/>
      <c r="W475" s="21" t="str">
        <f t="shared" si="542"/>
        <v/>
      </c>
      <c r="X475" s="21" t="str">
        <f t="shared" si="543"/>
        <v/>
      </c>
      <c r="Z475" s="70" t="str">
        <f>IF(SUMIFS(TrackingTime!H:H,TrackingTime!F:F,Timer!B475,TrackingTime!C:C,"Hovedkontoret")&gt;0,SUMIFS(TrackingTime!H:H,TrackingTime!F:F,Timer!B475,TrackingTime!C:C,"Hovedkontoret"),"")</f>
        <v/>
      </c>
      <c r="AA475" s="71" t="str">
        <f t="shared" si="529"/>
        <v/>
      </c>
      <c r="AB475" t="str">
        <f>IF(SUMIFS(TrackingTime!H:H,TrackingTime!F:F,Timer!B475,TrackingTime!C:C,Start!$F$3)&gt;0,SUMIFS(TrackingTime!H:H,TrackingTime!F:F,Timer!B475,TrackingTime!C:C,Start!$F$3),"")</f>
        <v/>
      </c>
      <c r="AC475" s="71" t="str">
        <f t="shared" si="532"/>
        <v/>
      </c>
    </row>
    <row r="476" spans="1:29" x14ac:dyDescent="0.25">
      <c r="A476" s="15"/>
      <c r="B476" s="63">
        <f t="shared" si="544"/>
        <v>46291</v>
      </c>
      <c r="C476">
        <f>IFERROR(IF(OR(L476="Fri",L476="Ferie",L476="Syk",L476="Omsorg",B476&lt;Start!$B$7),0,IF(IFERROR(MATCH(B476,Start!A$253:A$273,0),0)&gt;0,VLOOKUP(B476,Start!A$253:F$273,3,FALSE)/100*Start!$B$4,VLOOKUP(WEEKDAY(B476,2),Start!A$240:F$246,4,FALSE))),"")</f>
        <v>0</v>
      </c>
      <c r="D476">
        <f>IFERROR(IF(OR(U476="Fri",U476="Ferie",U476="Syk",U476="Omsorg",B476&lt;Start!$F$7),0,IF(IFERROR(MATCH(B476,Start!A$253:A$273,0),0)&gt;0,VLOOKUP(B476,Start!A$253:F$273,3,FALSE)/100*Start!$F$4,VLOOKUP(WEEKDAY(B476,2),Start!A$240:F$246,6,FALSE))),"")</f>
        <v>0</v>
      </c>
      <c r="E476">
        <f t="shared" ca="1" si="481"/>
        <v>0</v>
      </c>
      <c r="F476">
        <f>IFERROR(IF(YEAR(B476)=Start!$B$1,MONTH(B476),""),"")</f>
        <v>9</v>
      </c>
      <c r="G476" s="64" t="str">
        <f>IFERROR(VLOOKUP(B476,Start!A$111:B$273,2,FALSE),"")</f>
        <v/>
      </c>
      <c r="H476" s="21"/>
      <c r="I476" s="78">
        <v>0.41666666666666669</v>
      </c>
      <c r="J476" s="78">
        <v>0.41666666666666669</v>
      </c>
      <c r="K476" s="1" t="str">
        <f>IF(Start!$B$6="Ja","",IF(((J476-I476)*24)&gt;=5.5,"X",""))</f>
        <v/>
      </c>
      <c r="L476" s="1" t="str">
        <f t="shared" ref="L476:L477" si="545">IF(AND((J476-I476)=0,Z476=""),"",MAX((IF(K476="X",(J476-I476)*24-0.5,(J476-I476)*24)),Z476))</f>
        <v/>
      </c>
      <c r="M476" s="58"/>
      <c r="N476" s="21" t="str">
        <f t="shared" si="540"/>
        <v/>
      </c>
      <c r="O476" s="21" t="str">
        <f t="shared" si="541"/>
        <v/>
      </c>
      <c r="P476" s="2"/>
      <c r="Q476" s="21"/>
      <c r="R476" s="78">
        <v>0.41666666666666669</v>
      </c>
      <c r="S476" s="78">
        <v>0.41666666666666669</v>
      </c>
      <c r="T476" s="1" t="str">
        <f>IF(Start!$B$6="Ja","",IF(((S476-R476)*24)&gt;=5.5,"X",""))</f>
        <v/>
      </c>
      <c r="U476" s="1" t="str">
        <f t="shared" ref="U476:U477" si="546">IF(AND((S476-R476)=0,AB476=""),"",MAX((IF(T476="X",(S476-R476)*24-0.5,(S476-R476)*24)),AB476))</f>
        <v/>
      </c>
      <c r="V476" s="58"/>
      <c r="W476" s="21" t="str">
        <f t="shared" si="542"/>
        <v/>
      </c>
      <c r="X476" s="21" t="str">
        <f t="shared" si="543"/>
        <v/>
      </c>
      <c r="Z476" s="70" t="str">
        <f>IF(SUMIFS(TrackingTime!H:H,TrackingTime!F:F,Timer!B476,TrackingTime!C:C,"Hovedkontoret")&gt;0,SUMIFS(TrackingTime!H:H,TrackingTime!F:F,Timer!B476,TrackingTime!C:C,"Hovedkontoret"),"")</f>
        <v/>
      </c>
      <c r="AA476" s="71" t="str">
        <f t="shared" si="529"/>
        <v/>
      </c>
      <c r="AB476" t="str">
        <f>IF(SUMIFS(TrackingTime!H:H,TrackingTime!F:F,Timer!B476,TrackingTime!C:C,Start!$F$3)&gt;0,SUMIFS(TrackingTime!H:H,TrackingTime!F:F,Timer!B476,TrackingTime!C:C,Start!$F$3),"")</f>
        <v/>
      </c>
      <c r="AC476" s="71" t="str">
        <f t="shared" si="532"/>
        <v/>
      </c>
    </row>
    <row r="477" spans="1:29" x14ac:dyDescent="0.25">
      <c r="A477" s="15"/>
      <c r="B477" s="63">
        <f t="shared" si="544"/>
        <v>46292</v>
      </c>
      <c r="C477">
        <f>IFERROR(IF(OR(L477="Fri",L477="Ferie",L477="Syk",L477="Omsorg",B477&lt;Start!$B$7),0,IF(IFERROR(MATCH(B477,Start!A$253:A$273,0),0)&gt;0,VLOOKUP(B477,Start!A$253:F$273,3,FALSE)/100*Start!$B$4,VLOOKUP(WEEKDAY(B477,2),Start!A$240:F$246,4,FALSE))),"")</f>
        <v>0</v>
      </c>
      <c r="D477">
        <f>IFERROR(IF(OR(U477="Fri",U477="Ferie",U477="Syk",U477="Omsorg",B477&lt;Start!$F$7),0,IF(IFERROR(MATCH(B477,Start!A$253:A$273,0),0)&gt;0,VLOOKUP(B477,Start!A$253:F$273,3,FALSE)/100*Start!$F$4,VLOOKUP(WEEKDAY(B477,2),Start!A$240:F$246,6,FALSE))),"")</f>
        <v>0</v>
      </c>
      <c r="E477">
        <f t="shared" ca="1" si="481"/>
        <v>0</v>
      </c>
      <c r="F477">
        <f>IFERROR(IF(YEAR(B477)=Start!$B$1,MONTH(B477),""),"")</f>
        <v>9</v>
      </c>
      <c r="G477" s="64" t="str">
        <f>IFERROR(VLOOKUP(B477,Start!A$111:B$273,2,FALSE),"")</f>
        <v/>
      </c>
      <c r="H477" s="25"/>
      <c r="I477" s="78">
        <v>0.41666666666666669</v>
      </c>
      <c r="J477" s="78">
        <v>0.41666666666666669</v>
      </c>
      <c r="K477" s="1" t="str">
        <f>IF(Start!$B$6="Ja","",IF(((J477-I477)*24)&gt;=5.5,"X",""))</f>
        <v/>
      </c>
      <c r="L477" s="1" t="str">
        <f t="shared" si="545"/>
        <v/>
      </c>
      <c r="M477" s="58"/>
      <c r="N477" s="21" t="str">
        <f t="shared" si="540"/>
        <v/>
      </c>
      <c r="O477" s="21" t="str">
        <f t="shared" si="541"/>
        <v/>
      </c>
      <c r="Q477" s="25"/>
      <c r="R477" s="78">
        <v>0.41666666666666669</v>
      </c>
      <c r="S477" s="78">
        <v>0.41666666666666669</v>
      </c>
      <c r="T477" s="1" t="str">
        <f>IF(Start!$B$6="Ja","",IF(((S477-R477)*24)&gt;=5.5,"X",""))</f>
        <v/>
      </c>
      <c r="U477" s="1" t="str">
        <f t="shared" si="546"/>
        <v/>
      </c>
      <c r="V477" s="58"/>
      <c r="W477" s="21" t="str">
        <f t="shared" si="542"/>
        <v/>
      </c>
      <c r="X477" s="21" t="str">
        <f t="shared" si="543"/>
        <v/>
      </c>
      <c r="Z477" s="70" t="str">
        <f>IF(SUMIFS(TrackingTime!H:H,TrackingTime!F:F,Timer!B477,TrackingTime!C:C,"Hovedkontoret")&gt;0,SUMIFS(TrackingTime!H:H,TrackingTime!F:F,Timer!B477,TrackingTime!C:C,"Hovedkontoret"),"")</f>
        <v/>
      </c>
      <c r="AA477" s="71" t="str">
        <f t="shared" si="529"/>
        <v/>
      </c>
      <c r="AB477" t="str">
        <f>IF(SUMIFS(TrackingTime!H:H,TrackingTime!F:F,Timer!B477,TrackingTime!C:C,Start!$F$3)&gt;0,SUMIFS(TrackingTime!H:H,TrackingTime!F:F,Timer!B477,TrackingTime!C:C,Start!$F$3),"")</f>
        <v/>
      </c>
      <c r="AC477" s="71" t="str">
        <f t="shared" si="532"/>
        <v/>
      </c>
    </row>
    <row r="478" spans="1:29" x14ac:dyDescent="0.25">
      <c r="A478" s="15"/>
      <c r="B478" s="4" t="s">
        <v>11</v>
      </c>
      <c r="C478" s="24"/>
      <c r="D478" s="24"/>
      <c r="E478" s="24">
        <f t="shared" ca="1" si="481"/>
        <v>0</v>
      </c>
      <c r="F478" s="24" t="str">
        <f>IFERROR(IF(YEAR(B478)=Start!$B$1,MONTH(B478),""),"")</f>
        <v/>
      </c>
      <c r="G478" s="64" t="str">
        <f>IFERROR(VLOOKUP(B478,Start!A$111:B$273,2,FALSE),"")</f>
        <v/>
      </c>
      <c r="H478" s="4"/>
      <c r="I478" s="4"/>
      <c r="J478" s="4"/>
      <c r="K478" s="4"/>
      <c r="L478" s="5">
        <f t="shared" si="515"/>
        <v>0</v>
      </c>
      <c r="N478" s="24"/>
      <c r="O478" s="39">
        <f t="shared" ref="O478" si="547">SUM(O471:O477)</f>
        <v>0</v>
      </c>
      <c r="P478" s="40"/>
      <c r="Q478" s="41"/>
      <c r="R478" s="4"/>
      <c r="S478" s="4"/>
      <c r="T478" s="4"/>
      <c r="U478" s="5">
        <f t="shared" ref="U478" si="548">SUM($U471:$U477)</f>
        <v>0</v>
      </c>
      <c r="V478" s="58"/>
      <c r="W478" s="39"/>
      <c r="X478" s="39">
        <f t="shared" si="535"/>
        <v>0</v>
      </c>
      <c r="Z478" s="70" t="str">
        <f>IF(SUMIFS(TrackingTime!H:H,TrackingTime!F:F,Timer!B478,TrackingTime!C:C,"Hovedkontoret")&gt;0,SUMIFS(TrackingTime!H:H,TrackingTime!F:F,Timer!B478,TrackingTime!C:C,"Hovedkontoret"),"")</f>
        <v/>
      </c>
      <c r="AA478" s="71" t="str">
        <f t="shared" si="529"/>
        <v/>
      </c>
      <c r="AB478" t="str">
        <f>IF(SUMIFS(TrackingTime!H:H,TrackingTime!F:F,Timer!B478,TrackingTime!C:C,Start!$F$3)&gt;0,SUMIFS(TrackingTime!H:H,TrackingTime!F:F,Timer!B478,TrackingTime!C:C,Start!$F$3),"")</f>
        <v/>
      </c>
      <c r="AC478" s="71" t="str">
        <f t="shared" si="532"/>
        <v/>
      </c>
    </row>
    <row r="479" spans="1:29" x14ac:dyDescent="0.25">
      <c r="A479" s="15"/>
      <c r="B479" t="s">
        <v>90</v>
      </c>
      <c r="E479">
        <f t="shared" ca="1" si="481"/>
        <v>0</v>
      </c>
      <c r="F479" t="str">
        <f>IFERROR(IF(YEAR(B479)=Start!$B$1,MONTH(B479),""),"")</f>
        <v/>
      </c>
      <c r="G479" s="64" t="str">
        <f>IFERROR(VLOOKUP(B479,Start!A$111:B$273,2,FALSE),"")</f>
        <v/>
      </c>
      <c r="L479" s="1">
        <f t="shared" si="518"/>
        <v>0</v>
      </c>
      <c r="M479" s="1"/>
      <c r="N479" s="1"/>
      <c r="O479" s="21">
        <f t="shared" ref="O479" si="549">L479</f>
        <v>0</v>
      </c>
      <c r="P479" s="40"/>
      <c r="Q479" s="21"/>
      <c r="U479" s="1">
        <f t="shared" ref="U479" si="550">SUMIFS(D471:D477,F471:F477,"&gt;0")</f>
        <v>0</v>
      </c>
      <c r="V479" s="1"/>
      <c r="W479" s="1"/>
      <c r="X479" s="21">
        <f>U479</f>
        <v>0</v>
      </c>
      <c r="Z479" s="70" t="str">
        <f>IF(SUMIFS(TrackingTime!H:H,TrackingTime!F:F,Timer!B479,TrackingTime!C:C,"Hovedkontoret")&gt;0,SUMIFS(TrackingTime!H:H,TrackingTime!F:F,Timer!B479,TrackingTime!C:C,"Hovedkontoret"),"")</f>
        <v/>
      </c>
      <c r="AA479" s="71" t="str">
        <f t="shared" si="529"/>
        <v/>
      </c>
      <c r="AB479" t="str">
        <f>IF(SUMIFS(TrackingTime!H:H,TrackingTime!F:F,Timer!B479,TrackingTime!C:C,Start!$F$3)&gt;0,SUMIFS(TrackingTime!H:H,TrackingTime!F:F,Timer!B479,TrackingTime!C:C,Start!$F$3),"")</f>
        <v/>
      </c>
      <c r="AC479" s="71" t="str">
        <f t="shared" si="532"/>
        <v/>
      </c>
    </row>
    <row r="480" spans="1:29" x14ac:dyDescent="0.25">
      <c r="A480" s="16">
        <f>B477-B471-1</f>
        <v>5</v>
      </c>
      <c r="B480" t="s">
        <v>117</v>
      </c>
      <c r="E480">
        <f t="shared" ca="1" si="481"/>
        <v>0</v>
      </c>
      <c r="F480" t="str">
        <f>IFERROR(IF(YEAR(B480)=Start!$B$1,MONTH(B480),""),"")</f>
        <v/>
      </c>
      <c r="G480" s="64" t="str">
        <f>IFERROR(VLOOKUP(B480,Start!A$111:B$273,2,FALSE),"")</f>
        <v/>
      </c>
      <c r="L480" s="77">
        <f t="shared" ca="1" si="521"/>
        <v>0</v>
      </c>
      <c r="O480" s="21">
        <f t="shared" ref="O480" si="551">O478-O479</f>
        <v>0</v>
      </c>
      <c r="P480" s="21"/>
      <c r="Q480" s="21"/>
      <c r="U480" s="1">
        <f t="shared" ref="U480" ca="1" si="552">U478-U479*(IF(NETWORKDAYS($B471,TODAY())&lt;0,0,IF(NETWORKDAYS($B471,TODAY())&lt;=$A480,NETWORKDAYS($B471,TODAY()),$A480)))/$A480</f>
        <v>0</v>
      </c>
      <c r="V480" s="58"/>
      <c r="W480" s="21"/>
      <c r="X480" s="21">
        <f>X478-X479</f>
        <v>0</v>
      </c>
      <c r="Z480" s="70" t="str">
        <f>IF(SUMIFS(TrackingTime!H:H,TrackingTime!F:F,Timer!B480,TrackingTime!C:C,"Hovedkontoret")&gt;0,SUMIFS(TrackingTime!H:H,TrackingTime!F:F,Timer!B480,TrackingTime!C:C,"Hovedkontoret"),"")</f>
        <v/>
      </c>
      <c r="AA480" s="71" t="str">
        <f t="shared" si="529"/>
        <v/>
      </c>
      <c r="AB480" t="str">
        <f>IF(SUMIFS(TrackingTime!H:H,TrackingTime!F:F,Timer!B480,TrackingTime!C:C,Start!$F$3)&gt;0,SUMIFS(TrackingTime!H:H,TrackingTime!F:F,Timer!B480,TrackingTime!C:C,Start!$F$3),"")</f>
        <v/>
      </c>
      <c r="AC480" s="71" t="str">
        <f t="shared" si="532"/>
        <v/>
      </c>
    </row>
    <row r="481" spans="1:29" x14ac:dyDescent="0.25">
      <c r="A481" s="15"/>
      <c r="E481">
        <f t="shared" ca="1" si="481"/>
        <v>1</v>
      </c>
      <c r="F481" t="str">
        <f>IFERROR(IF(YEAR(B481)=Start!$B$1,MONTH(B481),""),"")</f>
        <v/>
      </c>
      <c r="G481" s="64" t="str">
        <f>IFERROR(VLOOKUP(B481,Start!A$111:B$273,2,FALSE),"")</f>
        <v/>
      </c>
      <c r="O481" s="2"/>
      <c r="P481" s="2"/>
      <c r="U481" s="1"/>
      <c r="V481" s="7"/>
      <c r="X481" s="2"/>
      <c r="Z481" s="70" t="str">
        <f>IF(SUMIFS(TrackingTime!H:H,TrackingTime!F:F,Timer!B481,TrackingTime!C:C,"Hovedkontoret")&gt;0,SUMIFS(TrackingTime!H:H,TrackingTime!F:F,Timer!B481,TrackingTime!C:C,"Hovedkontoret"),"")</f>
        <v/>
      </c>
      <c r="AA481" s="71" t="str">
        <f t="shared" si="529"/>
        <v/>
      </c>
      <c r="AB481" t="str">
        <f>IF(SUMIFS(TrackingTime!H:H,TrackingTime!F:F,Timer!B481,TrackingTime!C:C,Start!$F$3)&gt;0,SUMIFS(TrackingTime!H:H,TrackingTime!F:F,Timer!B481,TrackingTime!C:C,Start!$F$3),"")</f>
        <v/>
      </c>
      <c r="AC481" s="71" t="str">
        <f t="shared" si="532"/>
        <v/>
      </c>
    </row>
    <row r="482" spans="1:29" x14ac:dyDescent="0.25">
      <c r="A482" s="2" t="s">
        <v>82</v>
      </c>
      <c r="B482" s="14" t="s">
        <v>83</v>
      </c>
      <c r="E482">
        <f t="shared" ca="1" si="481"/>
        <v>0</v>
      </c>
      <c r="F482" t="str">
        <f>IFERROR(IF(YEAR(B482)=Start!$B$1,MONTH(B482),""),"")</f>
        <v/>
      </c>
      <c r="G482" s="64" t="str">
        <f>IFERROR(VLOOKUP(B482,Start!A$111:B$273,2,FALSE),"")</f>
        <v/>
      </c>
      <c r="H482" s="2" t="s">
        <v>86</v>
      </c>
      <c r="I482" s="2" t="s">
        <v>125</v>
      </c>
      <c r="J482" s="2" t="s">
        <v>126</v>
      </c>
      <c r="K482" s="2" t="s">
        <v>127</v>
      </c>
      <c r="L482" s="3" t="s">
        <v>87</v>
      </c>
      <c r="M482" s="6"/>
      <c r="N482" s="2" t="s">
        <v>88</v>
      </c>
      <c r="O482" s="2" t="s">
        <v>89</v>
      </c>
      <c r="P482" s="2"/>
      <c r="Q482" s="2" t="s">
        <v>86</v>
      </c>
      <c r="R482" s="2" t="s">
        <v>125</v>
      </c>
      <c r="S482" s="2" t="s">
        <v>126</v>
      </c>
      <c r="T482" s="2" t="s">
        <v>127</v>
      </c>
      <c r="U482" s="3" t="s">
        <v>87</v>
      </c>
      <c r="V482" s="6"/>
      <c r="W482" s="2" t="s">
        <v>88</v>
      </c>
      <c r="X482" s="2" t="s">
        <v>89</v>
      </c>
      <c r="Z482" s="70" t="str">
        <f>IF(SUMIFS(TrackingTime!H:H,TrackingTime!F:F,Timer!B482,TrackingTime!C:C,"Hovedkontoret")&gt;0,SUMIFS(TrackingTime!H:H,TrackingTime!F:F,Timer!B482,TrackingTime!C:C,"Hovedkontoret"),"")</f>
        <v/>
      </c>
      <c r="AA482" s="71" t="str">
        <f t="shared" si="529"/>
        <v/>
      </c>
      <c r="AB482" t="str">
        <f>IF(SUMIFS(TrackingTime!H:H,TrackingTime!F:F,Timer!B482,TrackingTime!C:C,Start!$F$3)&gt;0,SUMIFS(TrackingTime!H:H,TrackingTime!F:F,Timer!B482,TrackingTime!C:C,Start!$F$3),"")</f>
        <v/>
      </c>
      <c r="AC482" s="71" t="str">
        <f t="shared" si="532"/>
        <v/>
      </c>
    </row>
    <row r="483" spans="1:29" x14ac:dyDescent="0.25">
      <c r="A483" s="15">
        <f>WEEKNUM(B483,21)</f>
        <v>40</v>
      </c>
      <c r="B483" s="63">
        <f>B477+(DAY(1))</f>
        <v>46293</v>
      </c>
      <c r="C483" t="str">
        <f>IFERROR(IF(OR(L483="Fri",L483="Ferie",L483="Syk",L483="Omsorg",B483&lt;Start!$B$7),0,IF(IFERROR(MATCH(B483,Start!A$253:A$273,0),0)&gt;0,VLOOKUP(B483,Start!A$253:F$273,3,FALSE)/100*Start!$B$4,VLOOKUP(WEEKDAY(B483,2),Start!A$240:F$246,4,FALSE))),"")</f>
        <v/>
      </c>
      <c r="D483" t="str">
        <f>IFERROR(IF(OR(U483="Fri",U483="Ferie",U483="Syk",U483="Omsorg",B483&lt;Start!$F$7),0,IF(IFERROR(MATCH(B483,Start!A$253:A$273,0),0)&gt;0,VLOOKUP(B483,Start!A$253:F$273,3,FALSE)/100*Start!$F$4,VLOOKUP(WEEKDAY(B483,2),Start!A$240:F$246,6,FALSE))),"")</f>
        <v/>
      </c>
      <c r="E483">
        <f t="shared" ca="1" si="481"/>
        <v>0</v>
      </c>
      <c r="F483">
        <f>IFERROR(IF(YEAR(B483)=Start!$B$1,MONTH(B483),""),"")</f>
        <v>9</v>
      </c>
      <c r="G483" s="64" t="str">
        <f>IFERROR(VLOOKUP(B483,Start!A$111:B$273,2,FALSE),"")</f>
        <v/>
      </c>
      <c r="H483" s="21"/>
      <c r="I483" s="78">
        <v>0.33333333333333331</v>
      </c>
      <c r="J483" s="78">
        <v>0.33333333333333331</v>
      </c>
      <c r="K483" s="1" t="str">
        <f>IF(Start!$B$6="Ja","",IF(((J483-I483)*24)&gt;=5.5,"X",""))</f>
        <v/>
      </c>
      <c r="L483" s="1" t="str">
        <f>IF(_xlfn.IFNA(MATCH($A483,Start!$H$3:$H$11,0),0)&gt;0,"Ferie",IFERROR(IF(VLOOKUP(B483,Start!A$165:B$234,2,FALSE)&gt;0,"Fri",0),IF(AND((J483-I483)=0,Z483=""),"",MAX((IF(K483="X",(J483-I483)*24-0.5,(J483-I483)*24)),Z483))))</f>
        <v/>
      </c>
      <c r="M483" s="58"/>
      <c r="N483" s="21" t="str">
        <f t="shared" ref="N483:N489" si="553">IF(H483=0,"",H483)</f>
        <v/>
      </c>
      <c r="O483" s="21" t="str">
        <f t="shared" ref="O483:O489" si="554">IF(L483=0,"",L483)</f>
        <v/>
      </c>
      <c r="P483" s="2"/>
      <c r="Q483" s="21"/>
      <c r="R483" s="78">
        <v>0.33333333333333331</v>
      </c>
      <c r="S483" s="78">
        <v>0.33333333333333331</v>
      </c>
      <c r="T483" s="1" t="str">
        <f>IF(Start!$B$6="Ja","",IF(((S483-R483)*24)&gt;=5.5,"X",""))</f>
        <v/>
      </c>
      <c r="U483" s="1" t="str">
        <f>IF(_xlfn.IFNA(MATCH($A$15,Start!$H$3:$H$11,0),0)&gt;0,"Ferie",(IF(L483="fri","Fri",(IF(L483="syk","Syk",IF(L483="Ferie","Ferie",IF(AND((S483-R483)=0,AB483=""),"",MAX((IF(T483="X",(S483-R483)*24-0.5,(S483-R483)*24)),AB483))))))))</f>
        <v/>
      </c>
      <c r="V483" s="58"/>
      <c r="W483" s="21" t="str">
        <f t="shared" ref="W483:W489" si="555">IF(Q483=0,"",Q483)</f>
        <v/>
      </c>
      <c r="X483" s="21" t="str">
        <f t="shared" ref="X483:X489" si="556">IF(U483=0,"",U483)</f>
        <v/>
      </c>
      <c r="Z483" s="70" t="str">
        <f>IF(SUMIFS(TrackingTime!H:H,TrackingTime!F:F,Timer!B483,TrackingTime!C:C,"Hovedkontoret")&gt;0,SUMIFS(TrackingTime!H:H,TrackingTime!F:F,Timer!B483,TrackingTime!C:C,"Hovedkontoret"),"")</f>
        <v/>
      </c>
      <c r="AA483" s="71" t="str">
        <f t="shared" si="529"/>
        <v/>
      </c>
      <c r="AB483" t="str">
        <f>IF(SUMIFS(TrackingTime!H:H,TrackingTime!F:F,Timer!B483,TrackingTime!C:C,Start!$F$3)&gt;0,SUMIFS(TrackingTime!H:H,TrackingTime!F:F,Timer!B483,TrackingTime!C:C,Start!$F$3),"")</f>
        <v/>
      </c>
      <c r="AC483" s="71" t="str">
        <f t="shared" si="532"/>
        <v/>
      </c>
    </row>
    <row r="484" spans="1:29" x14ac:dyDescent="0.25">
      <c r="A484" s="15"/>
      <c r="B484" s="63">
        <f t="shared" ref="B484:B489" si="557">B483+DAY(1)</f>
        <v>46294</v>
      </c>
      <c r="C484" t="str">
        <f>IFERROR(IF(OR(L484="Fri",L484="Ferie",L484="Syk",L484="Omsorg",B484&lt;Start!$B$7),0,IF(IFERROR(MATCH(B484,Start!A$253:A$273,0),0)&gt;0,VLOOKUP(B484,Start!A$253:F$273,3,FALSE)/100*Start!$B$4,VLOOKUP(WEEKDAY(B484,2),Start!A$240:F$246,4,FALSE))),"")</f>
        <v/>
      </c>
      <c r="D484" t="str">
        <f>IFERROR(IF(OR(U484="Fri",U484="Ferie",U484="Syk",U484="Omsorg",B484&lt;Start!$F$7),0,IF(IFERROR(MATCH(B484,Start!A$253:A$273,0),0)&gt;0,VLOOKUP(B484,Start!A$253:F$273,3,FALSE)/100*Start!$F$4,VLOOKUP(WEEKDAY(B484,2),Start!A$240:F$246,6,FALSE))),"")</f>
        <v/>
      </c>
      <c r="E484">
        <f t="shared" ca="1" si="481"/>
        <v>0</v>
      </c>
      <c r="F484">
        <f>IFERROR(IF(YEAR(B484)=Start!$B$1,MONTH(B484),""),"")</f>
        <v>9</v>
      </c>
      <c r="G484" s="64" t="str">
        <f>IFERROR(VLOOKUP(B484,Start!A$111:B$273,2,FALSE),"")</f>
        <v/>
      </c>
      <c r="H484" s="21"/>
      <c r="I484" s="78">
        <v>0.33333333333333331</v>
      </c>
      <c r="J484" s="78">
        <v>0.33333333333333331</v>
      </c>
      <c r="K484" s="1" t="str">
        <f>IF(Start!$B$6="Ja","",IF(((J484-I484)*24)&gt;=5.5,"X",""))</f>
        <v/>
      </c>
      <c r="L484" s="1" t="str">
        <f>IF(_xlfn.IFNA(MATCH($A483,Start!$H$3:$H$11,0),0)&gt;0,"Ferie",IFERROR(IF(VLOOKUP($B484,Start!$A$165:$B$234,2,FALSE)&gt;0,"Fri",0),IF(AND((J484-I484)=0,Z484=""),"",MAX((IF(K484="X",(J484-I484)*24-0.5,(J484-I484)*24)),Z484))))</f>
        <v/>
      </c>
      <c r="M484" s="58"/>
      <c r="N484" s="21" t="str">
        <f t="shared" si="553"/>
        <v/>
      </c>
      <c r="O484" s="21" t="str">
        <f t="shared" si="554"/>
        <v/>
      </c>
      <c r="P484" s="2"/>
      <c r="Q484" s="21"/>
      <c r="R484" s="78">
        <v>0.33333333333333331</v>
      </c>
      <c r="S484" s="78">
        <v>0.33333333333333331</v>
      </c>
      <c r="T484" s="1" t="str">
        <f>IF(Start!$B$6="Ja","",IF(((S484-R484)*24)&gt;=5.5,"X",""))</f>
        <v/>
      </c>
      <c r="U484" s="1" t="str">
        <f>IF(_xlfn.IFNA(MATCH($A$15,Start!$H$3:$H$11,0),0)&gt;0,"Ferie",(IF(L484="fri","Fri",(IF(L484="syk","Syk",IF(L484="Ferie","Ferie",IF(AND((S484-R484)=0,AB484=""),"",MAX((IF(T484="X",(S484-R484)*24-0.5,(S484-R484)*24)),AB484))))))))</f>
        <v/>
      </c>
      <c r="V484" s="58"/>
      <c r="W484" s="21" t="str">
        <f t="shared" si="555"/>
        <v/>
      </c>
      <c r="X484" s="21" t="str">
        <f t="shared" si="556"/>
        <v/>
      </c>
      <c r="Z484" s="70" t="str">
        <f>IF(SUMIFS(TrackingTime!H:H,TrackingTime!F:F,Timer!B484,TrackingTime!C:C,"Hovedkontoret")&gt;0,SUMIFS(TrackingTime!H:H,TrackingTime!F:F,Timer!B484,TrackingTime!C:C,"Hovedkontoret"),"")</f>
        <v/>
      </c>
      <c r="AA484" s="71" t="str">
        <f t="shared" si="529"/>
        <v/>
      </c>
      <c r="AB484" t="str">
        <f>IF(SUMIFS(TrackingTime!H:H,TrackingTime!F:F,Timer!B484,TrackingTime!C:C,Start!$F$3)&gt;0,SUMIFS(TrackingTime!H:H,TrackingTime!F:F,Timer!B484,TrackingTime!C:C,Start!$F$3),"")</f>
        <v/>
      </c>
      <c r="AC484" s="71" t="str">
        <f t="shared" si="532"/>
        <v/>
      </c>
    </row>
    <row r="485" spans="1:29" x14ac:dyDescent="0.25">
      <c r="A485" s="15"/>
      <c r="B485" s="63">
        <f t="shared" si="557"/>
        <v>46295</v>
      </c>
      <c r="C485" t="str">
        <f>IFERROR(IF(OR(L485="Fri",L485="Ferie",L485="Syk",L485="Omsorg",B485&lt;Start!$B$7),0,IF(IFERROR(MATCH(B485,Start!A$253:A$273,0),0)&gt;0,VLOOKUP(B485,Start!A$253:F$273,3,FALSE)/100*Start!$B$4,VLOOKUP(WEEKDAY(B485,2),Start!A$240:F$246,4,FALSE))),"")</f>
        <v/>
      </c>
      <c r="D485" t="str">
        <f>IFERROR(IF(OR(U485="Fri",U485="Ferie",U485="Syk",U485="Omsorg",B485&lt;Start!$F$7),0,IF(IFERROR(MATCH(B485,Start!A$253:A$273,0),0)&gt;0,VLOOKUP(B485,Start!A$253:F$273,3,FALSE)/100*Start!$F$4,VLOOKUP(WEEKDAY(B485,2),Start!A$240:F$246,6,FALSE))),"")</f>
        <v/>
      </c>
      <c r="E485">
        <f t="shared" ca="1" si="481"/>
        <v>0</v>
      </c>
      <c r="F485">
        <f>IFERROR(IF(YEAR(B485)=Start!$B$1,MONTH(B485),""),"")</f>
        <v>9</v>
      </c>
      <c r="G485" s="64" t="str">
        <f>IFERROR(VLOOKUP(B485,Start!A$111:B$273,2,FALSE),"")</f>
        <v/>
      </c>
      <c r="H485" s="21"/>
      <c r="I485" s="78">
        <v>0.33333333333333331</v>
      </c>
      <c r="J485" s="78">
        <v>0.33333333333333331</v>
      </c>
      <c r="K485" s="1" t="str">
        <f>IF(Start!$B$6="Ja","",IF(((J485-I485)*24)&gt;=5.5,"X",""))</f>
        <v/>
      </c>
      <c r="L485" s="1" t="str">
        <f>IF(_xlfn.IFNA(MATCH($A483,Start!$H$3:$H$11,0),0)&gt;0,"Ferie",IFERROR(IF(VLOOKUP(B485,Start!A$165:B$234,2,FALSE)&gt;0,"Fri",0),IF(AND((J485-I485)=0,Z485=""),"",MAX((IF(K485="X",(J485-I485)*24-0.5,(J485-I485)*24)),Z485))))</f>
        <v/>
      </c>
      <c r="M485" s="58"/>
      <c r="N485" s="21" t="str">
        <f t="shared" si="553"/>
        <v/>
      </c>
      <c r="O485" s="21" t="str">
        <f t="shared" si="554"/>
        <v/>
      </c>
      <c r="P485" s="2"/>
      <c r="Q485" s="21"/>
      <c r="R485" s="78">
        <v>0.33333333333333331</v>
      </c>
      <c r="S485" s="78">
        <v>0.33333333333333331</v>
      </c>
      <c r="T485" s="1" t="str">
        <f>IF(Start!$B$6="Ja","",IF(((S485-R485)*24)&gt;=5.5,"X",""))</f>
        <v/>
      </c>
      <c r="U485" s="1" t="str">
        <f>IF(_xlfn.IFNA(MATCH($A$15,Start!$H$3:$H$11,0),0)&gt;0,"Ferie",(IF(L485="fri","Fri",(IF(L485="syk","Syk",IF(L485="Ferie","Ferie",IF(AND((S485-R485)=0,AB485=""),"",MAX((IF(T485="X",(S485-R485)*24-0.5,(S485-R485)*24)),AB485))))))))</f>
        <v/>
      </c>
      <c r="V485" s="58"/>
      <c r="W485" s="21" t="str">
        <f t="shared" si="555"/>
        <v/>
      </c>
      <c r="X485" s="21" t="str">
        <f t="shared" si="556"/>
        <v/>
      </c>
      <c r="Z485" s="70" t="str">
        <f>IF(SUMIFS(TrackingTime!H:H,TrackingTime!F:F,Timer!B485,TrackingTime!C:C,"Hovedkontoret")&gt;0,SUMIFS(TrackingTime!H:H,TrackingTime!F:F,Timer!B485,TrackingTime!C:C,"Hovedkontoret"),"")</f>
        <v/>
      </c>
      <c r="AA485" s="71" t="str">
        <f t="shared" si="529"/>
        <v/>
      </c>
      <c r="AB485" t="str">
        <f>IF(SUMIFS(TrackingTime!H:H,TrackingTime!F:F,Timer!B485,TrackingTime!C:C,Start!$F$3)&gt;0,SUMIFS(TrackingTime!H:H,TrackingTime!F:F,Timer!B485,TrackingTime!C:C,Start!$F$3),"")</f>
        <v/>
      </c>
      <c r="AC485" s="71" t="str">
        <f t="shared" si="532"/>
        <v/>
      </c>
    </row>
    <row r="486" spans="1:29" x14ac:dyDescent="0.25">
      <c r="A486" s="15"/>
      <c r="B486" s="63">
        <f t="shared" si="557"/>
        <v>46296</v>
      </c>
      <c r="C486" t="str">
        <f>IFERROR(IF(OR(L486="Fri",L486="Ferie",L486="Syk",L486="Omsorg",B486&lt;Start!$B$7),0,IF(IFERROR(MATCH(B486,Start!A$253:A$273,0),0)&gt;0,VLOOKUP(B486,Start!A$253:F$273,3,FALSE)/100*Start!$B$4,VLOOKUP(WEEKDAY(B486,2),Start!A$240:F$246,4,FALSE))),"")</f>
        <v/>
      </c>
      <c r="D486" t="str">
        <f>IFERROR(IF(OR(U486="Fri",U486="Ferie",U486="Syk",U486="Omsorg",B486&lt;Start!$F$7),0,IF(IFERROR(MATCH(B486,Start!A$253:A$273,0),0)&gt;0,VLOOKUP(B486,Start!A$253:F$273,3,FALSE)/100*Start!$F$4,VLOOKUP(WEEKDAY(B486,2),Start!A$240:F$246,6,FALSE))),"")</f>
        <v/>
      </c>
      <c r="E486">
        <f t="shared" ref="E486:E549" ca="1" si="558">IF(B486&gt;TODAY(),0,1)</f>
        <v>0</v>
      </c>
      <c r="F486">
        <f>IFERROR(IF(YEAR(B486)=Start!$B$1,MONTH(B486),""),"")</f>
        <v>10</v>
      </c>
      <c r="G486" s="64" t="str">
        <f>IFERROR(VLOOKUP(B486,Start!A$111:B$273,2,FALSE),"")</f>
        <v/>
      </c>
      <c r="H486" s="21"/>
      <c r="I486" s="78">
        <v>0.33333333333333331</v>
      </c>
      <c r="J486" s="78">
        <v>0.33333333333333331</v>
      </c>
      <c r="K486" s="1" t="str">
        <f>IF(Start!$B$6="Ja","",IF(((J486-I486)*24)&gt;=5.5,"X",""))</f>
        <v/>
      </c>
      <c r="L486" s="1" t="str">
        <f>IF(_xlfn.IFNA(MATCH($A483,Start!$H$3:$H$11,0),0)&gt;0,"Ferie",IFERROR(IF(VLOOKUP(B486,Start!A$165:B$234,2,FALSE)&gt;0,"Fri",0),IF(AND((J486-I486)=0,Z486=""),"",MAX((IF(K486="X",(J486-I486)*24-0.5,(J486-I486)*24)),Z486))))</f>
        <v/>
      </c>
      <c r="M486" s="58"/>
      <c r="N486" s="21" t="str">
        <f t="shared" si="553"/>
        <v/>
      </c>
      <c r="O486" s="21" t="str">
        <f t="shared" si="554"/>
        <v/>
      </c>
      <c r="P486" s="2"/>
      <c r="Q486" s="21"/>
      <c r="R486" s="78">
        <v>0.33333333333333331</v>
      </c>
      <c r="S486" s="78">
        <v>0.33333333333333331</v>
      </c>
      <c r="T486" s="1" t="str">
        <f>IF(Start!$B$6="Ja","",IF(((S486-R486)*24)&gt;=5.5,"X",""))</f>
        <v/>
      </c>
      <c r="U486" s="1" t="str">
        <f>IF(_xlfn.IFNA(MATCH($A$15,Start!$H$3:$H$11,0),0)&gt;0,"Ferie",(IF(L486="fri","Fri",(IF(L486="syk","Syk",IF(L486="Ferie","Ferie",IF(AND((S486-R486)=0,AB486=""),"",MAX((IF(T486="X",(S486-R486)*24-0.5,(S486-R486)*24)),AB486))))))))</f>
        <v/>
      </c>
      <c r="V486" s="58"/>
      <c r="W486" s="21" t="str">
        <f t="shared" si="555"/>
        <v/>
      </c>
      <c r="X486" s="21" t="str">
        <f t="shared" si="556"/>
        <v/>
      </c>
      <c r="Z486" s="70" t="str">
        <f>IF(SUMIFS(TrackingTime!H:H,TrackingTime!F:F,Timer!B486,TrackingTime!C:C,"Hovedkontoret")&gt;0,SUMIFS(TrackingTime!H:H,TrackingTime!F:F,Timer!B486,TrackingTime!C:C,"Hovedkontoret"),"")</f>
        <v/>
      </c>
      <c r="AA486" s="71" t="str">
        <f t="shared" si="529"/>
        <v/>
      </c>
      <c r="AB486" t="str">
        <f>IF(SUMIFS(TrackingTime!H:H,TrackingTime!F:F,Timer!B486,TrackingTime!C:C,Start!$F$3)&gt;0,SUMIFS(TrackingTime!H:H,TrackingTime!F:F,Timer!B486,TrackingTime!C:C,Start!$F$3),"")</f>
        <v/>
      </c>
      <c r="AC486" s="71" t="str">
        <f t="shared" si="532"/>
        <v/>
      </c>
    </row>
    <row r="487" spans="1:29" x14ac:dyDescent="0.25">
      <c r="A487" s="15"/>
      <c r="B487" s="63">
        <f t="shared" si="557"/>
        <v>46297</v>
      </c>
      <c r="C487" t="str">
        <f>IFERROR(IF(OR(L487="Fri",L487="Ferie",L487="Syk",L487="Omsorg",B487&lt;Start!$B$7),0,IF(IFERROR(MATCH(B487,Start!A$253:A$273,0),0)&gt;0,VLOOKUP(B487,Start!A$253:F$273,3,FALSE)/100*Start!$B$4,VLOOKUP(WEEKDAY(B487,2),Start!A$240:F$246,4,FALSE))),"")</f>
        <v/>
      </c>
      <c r="D487" t="str">
        <f>IFERROR(IF(OR(U487="Fri",U487="Ferie",U487="Syk",U487="Omsorg",B487&lt;Start!$F$7),0,IF(IFERROR(MATCH(B487,Start!A$253:A$273,0),0)&gt;0,VLOOKUP(B487,Start!A$253:F$273,3,FALSE)/100*Start!$F$4,VLOOKUP(WEEKDAY(B487,2),Start!A$240:F$246,6,FALSE))),"")</f>
        <v/>
      </c>
      <c r="E487">
        <f t="shared" ca="1" si="558"/>
        <v>0</v>
      </c>
      <c r="F487">
        <f>IFERROR(IF(YEAR(B487)=Start!$B$1,MONTH(B487),""),"")</f>
        <v>10</v>
      </c>
      <c r="G487" s="64" t="str">
        <f>IFERROR(VLOOKUP(B487,Start!A$111:B$273,2,FALSE),"")</f>
        <v/>
      </c>
      <c r="H487" s="21"/>
      <c r="I487" s="78">
        <v>0.33333333333333331</v>
      </c>
      <c r="J487" s="78">
        <v>0.33333333333333331</v>
      </c>
      <c r="K487" s="1" t="str">
        <f>IF(Start!$B$6="Ja","",IF(((J487-I487)*24)&gt;=5.5,"X",""))</f>
        <v/>
      </c>
      <c r="L487" s="1" t="str">
        <f>IF(_xlfn.IFNA(MATCH($A483,Start!$H$3:$H$11,0),0)&gt;0,"Ferie",IFERROR(IF(VLOOKUP(B487,Start!A$165:B$234,2,FALSE)&gt;0,"Fri",0),IF(AND((J487-I487)=0,Z487=""),"",MAX((IF(K487="X",(J487-I487)*24-0.5,(J487-I487)*24)),Z487))))</f>
        <v/>
      </c>
      <c r="M487" s="58"/>
      <c r="N487" s="21" t="str">
        <f t="shared" si="553"/>
        <v/>
      </c>
      <c r="O487" s="21" t="str">
        <f t="shared" si="554"/>
        <v/>
      </c>
      <c r="P487" s="2"/>
      <c r="Q487" s="21"/>
      <c r="R487" s="78">
        <v>0.33333333333333331</v>
      </c>
      <c r="S487" s="78">
        <v>0.33333333333333331</v>
      </c>
      <c r="T487" s="1" t="str">
        <f>IF(Start!$B$6="Ja","",IF(((S487-R487)*24)&gt;=5.5,"X",""))</f>
        <v/>
      </c>
      <c r="U487" s="1" t="str">
        <f>IF(_xlfn.IFNA(MATCH($A$15,Start!$H$3:$H$11,0),0)&gt;0,"Ferie",(IF(L487="fri","Fri",(IF(L487="syk","Syk",IF(L487="Ferie","Ferie",IF(AND((S487-R487)=0,AB487=""),"",MAX((IF(T487="X",(S487-R487)*24-0.5,(S487-R487)*24)),AB487))))))))</f>
        <v/>
      </c>
      <c r="V487" s="58"/>
      <c r="W487" s="21" t="str">
        <f t="shared" si="555"/>
        <v/>
      </c>
      <c r="X487" s="21" t="str">
        <f t="shared" si="556"/>
        <v/>
      </c>
      <c r="Z487" s="70" t="str">
        <f>IF(SUMIFS(TrackingTime!H:H,TrackingTime!F:F,Timer!B487,TrackingTime!C:C,"Hovedkontoret")&gt;0,SUMIFS(TrackingTime!H:H,TrackingTime!F:F,Timer!B487,TrackingTime!C:C,"Hovedkontoret"),"")</f>
        <v/>
      </c>
      <c r="AA487" s="71" t="str">
        <f t="shared" si="529"/>
        <v/>
      </c>
      <c r="AB487" t="str">
        <f>IF(SUMIFS(TrackingTime!H:H,TrackingTime!F:F,Timer!B487,TrackingTime!C:C,Start!$F$3)&gt;0,SUMIFS(TrackingTime!H:H,TrackingTime!F:F,Timer!B487,TrackingTime!C:C,Start!$F$3),"")</f>
        <v/>
      </c>
      <c r="AC487" s="71" t="str">
        <f t="shared" si="532"/>
        <v/>
      </c>
    </row>
    <row r="488" spans="1:29" x14ac:dyDescent="0.25">
      <c r="A488" s="15"/>
      <c r="B488" s="63">
        <f t="shared" si="557"/>
        <v>46298</v>
      </c>
      <c r="C488">
        <f>IFERROR(IF(OR(L488="Fri",L488="Ferie",L488="Syk",L488="Omsorg",B488&lt;Start!$B$7),0,IF(IFERROR(MATCH(B488,Start!A$253:A$273,0),0)&gt;0,VLOOKUP(B488,Start!A$253:F$273,3,FALSE)/100*Start!$B$4,VLOOKUP(WEEKDAY(B488,2),Start!A$240:F$246,4,FALSE))),"")</f>
        <v>0</v>
      </c>
      <c r="D488">
        <f>IFERROR(IF(OR(U488="Fri",U488="Ferie",U488="Syk",U488="Omsorg",B488&lt;Start!$F$7),0,IF(IFERROR(MATCH(B488,Start!A$253:A$273,0),0)&gt;0,VLOOKUP(B488,Start!A$253:F$273,3,FALSE)/100*Start!$F$4,VLOOKUP(WEEKDAY(B488,2),Start!A$240:F$246,6,FALSE))),"")</f>
        <v>0</v>
      </c>
      <c r="E488">
        <f t="shared" ca="1" si="558"/>
        <v>0</v>
      </c>
      <c r="F488">
        <f>IFERROR(IF(YEAR(B488)=Start!$B$1,MONTH(B488),""),"")</f>
        <v>10</v>
      </c>
      <c r="G488" s="64" t="str">
        <f>IFERROR(VLOOKUP(B488,Start!A$111:B$273,2,FALSE),"")</f>
        <v/>
      </c>
      <c r="H488" s="21"/>
      <c r="I488" s="78">
        <v>0.41666666666666669</v>
      </c>
      <c r="J488" s="78">
        <v>0.41666666666666669</v>
      </c>
      <c r="K488" s="1" t="str">
        <f>IF(Start!$B$6="Ja","",IF(((J488-I488)*24)&gt;=5.5,"X",""))</f>
        <v/>
      </c>
      <c r="L488" s="1" t="str">
        <f t="shared" ref="L488:L489" si="559">IF(AND((J488-I488)=0,Z488=""),"",MAX((IF(K488="X",(J488-I488)*24-0.5,(J488-I488)*24)),Z488))</f>
        <v/>
      </c>
      <c r="M488" s="58"/>
      <c r="N488" s="21" t="str">
        <f t="shared" si="553"/>
        <v/>
      </c>
      <c r="O488" s="21" t="str">
        <f t="shared" si="554"/>
        <v/>
      </c>
      <c r="P488" s="2"/>
      <c r="Q488" s="21"/>
      <c r="R488" s="78">
        <v>0.41666666666666669</v>
      </c>
      <c r="S488" s="78">
        <v>0.41666666666666669</v>
      </c>
      <c r="T488" s="1" t="str">
        <f>IF(Start!$B$6="Ja","",IF(((S488-R488)*24)&gt;=5.5,"X",""))</f>
        <v/>
      </c>
      <c r="U488" s="1" t="str">
        <f t="shared" ref="U488:U489" si="560">IF(AND((S488-R488)=0,AB488=""),"",MAX((IF(T488="X",(S488-R488)*24-0.5,(S488-R488)*24)),AB488))</f>
        <v/>
      </c>
      <c r="V488" s="58"/>
      <c r="W488" s="21" t="str">
        <f t="shared" si="555"/>
        <v/>
      </c>
      <c r="X488" s="21" t="str">
        <f t="shared" si="556"/>
        <v/>
      </c>
      <c r="Z488" s="70" t="str">
        <f>IF(SUMIFS(TrackingTime!H:H,TrackingTime!F:F,Timer!B488,TrackingTime!C:C,"Hovedkontoret")&gt;0,SUMIFS(TrackingTime!H:H,TrackingTime!F:F,Timer!B488,TrackingTime!C:C,"Hovedkontoret"),"")</f>
        <v/>
      </c>
      <c r="AA488" s="71" t="str">
        <f t="shared" si="529"/>
        <v/>
      </c>
      <c r="AB488" t="str">
        <f>IF(SUMIFS(TrackingTime!H:H,TrackingTime!F:F,Timer!B488,TrackingTime!C:C,Start!$F$3)&gt;0,SUMIFS(TrackingTime!H:H,TrackingTime!F:F,Timer!B488,TrackingTime!C:C,Start!$F$3),"")</f>
        <v/>
      </c>
      <c r="AC488" s="71" t="str">
        <f t="shared" si="532"/>
        <v/>
      </c>
    </row>
    <row r="489" spans="1:29" x14ac:dyDescent="0.25">
      <c r="A489" s="15"/>
      <c r="B489" s="63">
        <f t="shared" si="557"/>
        <v>46299</v>
      </c>
      <c r="C489">
        <f>IFERROR(IF(OR(L489="Fri",L489="Ferie",L489="Syk",L489="Omsorg",B489&lt;Start!$B$7),0,IF(IFERROR(MATCH(B489,Start!A$253:A$273,0),0)&gt;0,VLOOKUP(B489,Start!A$253:F$273,3,FALSE)/100*Start!$B$4,VLOOKUP(WEEKDAY(B489,2),Start!A$240:F$246,4,FALSE))),"")</f>
        <v>0</v>
      </c>
      <c r="D489">
        <f>IFERROR(IF(OR(U489="Fri",U489="Ferie",U489="Syk",U489="Omsorg",B489&lt;Start!$F$7),0,IF(IFERROR(MATCH(B489,Start!A$253:A$273,0),0)&gt;0,VLOOKUP(B489,Start!A$253:F$273,3,FALSE)/100*Start!$F$4,VLOOKUP(WEEKDAY(B489,2),Start!A$240:F$246,6,FALSE))),"")</f>
        <v>0</v>
      </c>
      <c r="E489">
        <f t="shared" ca="1" si="558"/>
        <v>0</v>
      </c>
      <c r="F489">
        <f>IFERROR(IF(YEAR(B489)=Start!$B$1,MONTH(B489),""),"")</f>
        <v>10</v>
      </c>
      <c r="G489" s="64" t="str">
        <f>IFERROR(VLOOKUP(B489,Start!A$111:B$273,2,FALSE),"")</f>
        <v/>
      </c>
      <c r="H489" s="25"/>
      <c r="I489" s="78">
        <v>0.41666666666666669</v>
      </c>
      <c r="J489" s="78">
        <v>0.41666666666666669</v>
      </c>
      <c r="K489" s="1" t="str">
        <f>IF(Start!$B$6="Ja","",IF(((J489-I489)*24)&gt;=5.5,"X",""))</f>
        <v/>
      </c>
      <c r="L489" s="1" t="str">
        <f t="shared" si="559"/>
        <v/>
      </c>
      <c r="M489" s="58"/>
      <c r="N489" s="21" t="str">
        <f t="shared" si="553"/>
        <v/>
      </c>
      <c r="O489" s="21" t="str">
        <f t="shared" si="554"/>
        <v/>
      </c>
      <c r="Q489" s="25"/>
      <c r="R489" s="78">
        <v>0.41666666666666669</v>
      </c>
      <c r="S489" s="78">
        <v>0.41666666666666669</v>
      </c>
      <c r="T489" s="1" t="str">
        <f>IF(Start!$B$6="Ja","",IF(((S489-R489)*24)&gt;=5.5,"X",""))</f>
        <v/>
      </c>
      <c r="U489" s="1" t="str">
        <f t="shared" si="560"/>
        <v/>
      </c>
      <c r="V489" s="58"/>
      <c r="W489" s="21" t="str">
        <f t="shared" si="555"/>
        <v/>
      </c>
      <c r="X489" s="21" t="str">
        <f t="shared" si="556"/>
        <v/>
      </c>
      <c r="Z489" s="70" t="str">
        <f>IF(SUMIFS(TrackingTime!H:H,TrackingTime!F:F,Timer!B489,TrackingTime!C:C,"Hovedkontoret")&gt;0,SUMIFS(TrackingTime!H:H,TrackingTime!F:F,Timer!B489,TrackingTime!C:C,"Hovedkontoret"),"")</f>
        <v/>
      </c>
      <c r="AA489" s="71" t="str">
        <f t="shared" si="529"/>
        <v/>
      </c>
      <c r="AB489" t="str">
        <f>IF(SUMIFS(TrackingTime!H:H,TrackingTime!F:F,Timer!B489,TrackingTime!C:C,Start!$F$3)&gt;0,SUMIFS(TrackingTime!H:H,TrackingTime!F:F,Timer!B489,TrackingTime!C:C,Start!$F$3),"")</f>
        <v/>
      </c>
      <c r="AC489" s="71" t="str">
        <f t="shared" si="532"/>
        <v/>
      </c>
    </row>
    <row r="490" spans="1:29" x14ac:dyDescent="0.25">
      <c r="A490" s="15"/>
      <c r="B490" s="4" t="s">
        <v>11</v>
      </c>
      <c r="C490" s="24"/>
      <c r="D490" s="24"/>
      <c r="E490" s="24">
        <f t="shared" ca="1" si="558"/>
        <v>0</v>
      </c>
      <c r="F490" s="24" t="str">
        <f>IFERROR(IF(YEAR(B490)=Start!$B$1,MONTH(B490),""),"")</f>
        <v/>
      </c>
      <c r="G490" s="64" t="str">
        <f>IFERROR(VLOOKUP(B490,Start!A$111:B$273,2,FALSE),"")</f>
        <v/>
      </c>
      <c r="H490" s="4"/>
      <c r="I490" s="4"/>
      <c r="J490" s="4"/>
      <c r="K490" s="4"/>
      <c r="L490" s="5">
        <f t="shared" si="515"/>
        <v>0</v>
      </c>
      <c r="N490" s="24"/>
      <c r="O490" s="39">
        <f t="shared" ref="O490" si="561">SUM(O483:O489)</f>
        <v>0</v>
      </c>
      <c r="P490" s="40"/>
      <c r="Q490" s="41"/>
      <c r="R490" s="4"/>
      <c r="S490" s="4"/>
      <c r="T490" s="4"/>
      <c r="U490" s="5">
        <f t="shared" ref="U490" si="562">SUM($U483:$U489)</f>
        <v>0</v>
      </c>
      <c r="V490" s="58"/>
      <c r="W490" s="39"/>
      <c r="X490" s="39">
        <f t="shared" si="535"/>
        <v>0</v>
      </c>
      <c r="Z490" s="70" t="str">
        <f>IF(SUMIFS(TrackingTime!H:H,TrackingTime!F:F,Timer!B490,TrackingTime!C:C,"Hovedkontoret")&gt;0,SUMIFS(TrackingTime!H:H,TrackingTime!F:F,Timer!B490,TrackingTime!C:C,"Hovedkontoret"),"")</f>
        <v/>
      </c>
      <c r="AA490" s="71" t="str">
        <f t="shared" si="529"/>
        <v/>
      </c>
      <c r="AB490" t="str">
        <f>IF(SUMIFS(TrackingTime!H:H,TrackingTime!F:F,Timer!B490,TrackingTime!C:C,Start!$F$3)&gt;0,SUMIFS(TrackingTime!H:H,TrackingTime!F:F,Timer!B490,TrackingTime!C:C,Start!$F$3),"")</f>
        <v/>
      </c>
      <c r="AC490" s="71" t="str">
        <f t="shared" si="532"/>
        <v/>
      </c>
    </row>
    <row r="491" spans="1:29" x14ac:dyDescent="0.25">
      <c r="A491" s="15"/>
      <c r="B491" t="s">
        <v>90</v>
      </c>
      <c r="E491">
        <f t="shared" ca="1" si="558"/>
        <v>0</v>
      </c>
      <c r="F491" t="str">
        <f>IFERROR(IF(YEAR(B491)=Start!$B$1,MONTH(B491),""),"")</f>
        <v/>
      </c>
      <c r="G491" s="64" t="str">
        <f>IFERROR(VLOOKUP(B491,Start!A$111:B$273,2,FALSE),"")</f>
        <v/>
      </c>
      <c r="L491" s="1">
        <f t="shared" si="518"/>
        <v>0</v>
      </c>
      <c r="M491" s="1"/>
      <c r="N491" s="1"/>
      <c r="O491" s="21">
        <f t="shared" ref="O491" si="563">L491</f>
        <v>0</v>
      </c>
      <c r="P491" s="40"/>
      <c r="Q491" s="21"/>
      <c r="U491" s="1">
        <f t="shared" ref="U491" si="564">SUMIFS(D483:D489,F483:F489,"&gt;0")</f>
        <v>0</v>
      </c>
      <c r="V491" s="1"/>
      <c r="W491" s="1"/>
      <c r="X491" s="21">
        <f>U491</f>
        <v>0</v>
      </c>
      <c r="Z491" s="70" t="str">
        <f>IF(SUMIFS(TrackingTime!H:H,TrackingTime!F:F,Timer!B491,TrackingTime!C:C,"Hovedkontoret")&gt;0,SUMIFS(TrackingTime!H:H,TrackingTime!F:F,Timer!B491,TrackingTime!C:C,"Hovedkontoret"),"")</f>
        <v/>
      </c>
      <c r="AA491" s="71" t="str">
        <f t="shared" si="529"/>
        <v/>
      </c>
      <c r="AB491" t="str">
        <f>IF(SUMIFS(TrackingTime!H:H,TrackingTime!F:F,Timer!B491,TrackingTime!C:C,Start!$F$3)&gt;0,SUMIFS(TrackingTime!H:H,TrackingTime!F:F,Timer!B491,TrackingTime!C:C,Start!$F$3),"")</f>
        <v/>
      </c>
      <c r="AC491" s="71" t="str">
        <f t="shared" si="532"/>
        <v/>
      </c>
    </row>
    <row r="492" spans="1:29" x14ac:dyDescent="0.25">
      <c r="A492" s="16">
        <f>B489-B483-1</f>
        <v>5</v>
      </c>
      <c r="B492" t="s">
        <v>117</v>
      </c>
      <c r="E492">
        <f t="shared" ca="1" si="558"/>
        <v>0</v>
      </c>
      <c r="F492" t="str">
        <f>IFERROR(IF(YEAR(B492)=Start!$B$1,MONTH(B492),""),"")</f>
        <v/>
      </c>
      <c r="G492" s="64" t="str">
        <f>IFERROR(VLOOKUP(B492,Start!A$111:B$273,2,FALSE),"")</f>
        <v/>
      </c>
      <c r="L492" s="77">
        <f t="shared" ca="1" si="521"/>
        <v>0</v>
      </c>
      <c r="O492" s="21">
        <f t="shared" ref="O492" si="565">O490-O491</f>
        <v>0</v>
      </c>
      <c r="P492" s="21"/>
      <c r="Q492" s="21"/>
      <c r="U492" s="1">
        <f t="shared" ref="U492" ca="1" si="566">U490-U491*(IF(NETWORKDAYS($B483,TODAY())&lt;0,0,IF(NETWORKDAYS($B483,TODAY())&lt;=$A492,NETWORKDAYS($B483,TODAY()),$A492)))/$A492</f>
        <v>0</v>
      </c>
      <c r="V492" s="58"/>
      <c r="W492" s="21"/>
      <c r="X492" s="21">
        <f>X490-X491</f>
        <v>0</v>
      </c>
      <c r="Z492" s="70" t="str">
        <f>IF(SUMIFS(TrackingTime!H:H,TrackingTime!F:F,Timer!B492,TrackingTime!C:C,"Hovedkontoret")&gt;0,SUMIFS(TrackingTime!H:H,TrackingTime!F:F,Timer!B492,TrackingTime!C:C,"Hovedkontoret"),"")</f>
        <v/>
      </c>
      <c r="AA492" s="71" t="str">
        <f t="shared" si="529"/>
        <v/>
      </c>
      <c r="AB492" t="str">
        <f>IF(SUMIFS(TrackingTime!H:H,TrackingTime!F:F,Timer!B492,TrackingTime!C:C,Start!$F$3)&gt;0,SUMIFS(TrackingTime!H:H,TrackingTime!F:F,Timer!B492,TrackingTime!C:C,Start!$F$3),"")</f>
        <v/>
      </c>
      <c r="AC492" s="71" t="str">
        <f t="shared" si="532"/>
        <v/>
      </c>
    </row>
    <row r="493" spans="1:29" x14ac:dyDescent="0.25">
      <c r="A493" s="15"/>
      <c r="E493">
        <f t="shared" ca="1" si="558"/>
        <v>1</v>
      </c>
      <c r="F493" t="str">
        <f>IFERROR(IF(YEAR(B493)=Start!$B$1,MONTH(B493),""),"")</f>
        <v/>
      </c>
      <c r="G493" s="64" t="str">
        <f>IFERROR(VLOOKUP(B493,Start!A$111:B$273,2,FALSE),"")</f>
        <v/>
      </c>
      <c r="O493" s="2"/>
      <c r="P493" s="2"/>
      <c r="U493" s="1"/>
      <c r="V493" s="7"/>
      <c r="X493" s="2"/>
      <c r="Z493" s="70" t="str">
        <f>IF(SUMIFS(TrackingTime!H:H,TrackingTime!F:F,Timer!B493,TrackingTime!C:C,"Hovedkontoret")&gt;0,SUMIFS(TrackingTime!H:H,TrackingTime!F:F,Timer!B493,TrackingTime!C:C,"Hovedkontoret"),"")</f>
        <v/>
      </c>
      <c r="AA493" s="71" t="str">
        <f t="shared" si="529"/>
        <v/>
      </c>
      <c r="AB493" t="str">
        <f>IF(SUMIFS(TrackingTime!H:H,TrackingTime!F:F,Timer!B493,TrackingTime!C:C,Start!$F$3)&gt;0,SUMIFS(TrackingTime!H:H,TrackingTime!F:F,Timer!B493,TrackingTime!C:C,Start!$F$3),"")</f>
        <v/>
      </c>
      <c r="AC493" s="71" t="str">
        <f t="shared" si="532"/>
        <v/>
      </c>
    </row>
    <row r="494" spans="1:29" x14ac:dyDescent="0.25">
      <c r="A494" s="2" t="s">
        <v>82</v>
      </c>
      <c r="B494" s="14" t="s">
        <v>83</v>
      </c>
      <c r="E494">
        <f t="shared" ca="1" si="558"/>
        <v>0</v>
      </c>
      <c r="F494" t="str">
        <f>IFERROR(IF(YEAR(B494)=Start!$B$1,MONTH(B494),""),"")</f>
        <v/>
      </c>
      <c r="G494" s="64" t="str">
        <f>IFERROR(VLOOKUP(B494,Start!A$111:B$273,2,FALSE),"")</f>
        <v/>
      </c>
      <c r="H494" s="2" t="s">
        <v>86</v>
      </c>
      <c r="I494" s="2" t="s">
        <v>125</v>
      </c>
      <c r="J494" s="2" t="s">
        <v>126</v>
      </c>
      <c r="K494" s="2" t="s">
        <v>127</v>
      </c>
      <c r="L494" s="3" t="s">
        <v>87</v>
      </c>
      <c r="M494" s="6"/>
      <c r="N494" s="2" t="s">
        <v>88</v>
      </c>
      <c r="O494" s="2" t="s">
        <v>89</v>
      </c>
      <c r="P494" s="2"/>
      <c r="Q494" s="2" t="s">
        <v>86</v>
      </c>
      <c r="R494" s="2" t="s">
        <v>125</v>
      </c>
      <c r="S494" s="2" t="s">
        <v>126</v>
      </c>
      <c r="T494" s="2" t="s">
        <v>127</v>
      </c>
      <c r="U494" s="3" t="s">
        <v>87</v>
      </c>
      <c r="V494" s="6"/>
      <c r="W494" s="2" t="s">
        <v>88</v>
      </c>
      <c r="X494" s="2" t="s">
        <v>89</v>
      </c>
      <c r="Z494" s="70" t="str">
        <f>IF(SUMIFS(TrackingTime!H:H,TrackingTime!F:F,Timer!B494,TrackingTime!C:C,"Hovedkontoret")&gt;0,SUMIFS(TrackingTime!H:H,TrackingTime!F:F,Timer!B494,TrackingTime!C:C,"Hovedkontoret"),"")</f>
        <v/>
      </c>
      <c r="AA494" s="71" t="str">
        <f t="shared" si="529"/>
        <v/>
      </c>
      <c r="AB494" t="str">
        <f>IF(SUMIFS(TrackingTime!H:H,TrackingTime!F:F,Timer!B494,TrackingTime!C:C,Start!$F$3)&gt;0,SUMIFS(TrackingTime!H:H,TrackingTime!F:F,Timer!B494,TrackingTime!C:C,Start!$F$3),"")</f>
        <v/>
      </c>
      <c r="AC494" s="71" t="str">
        <f t="shared" si="532"/>
        <v/>
      </c>
    </row>
    <row r="495" spans="1:29" x14ac:dyDescent="0.25">
      <c r="A495" s="15">
        <f>WEEKNUM(B495,21)</f>
        <v>41</v>
      </c>
      <c r="B495" s="63">
        <f>B489+(DAY(1))</f>
        <v>46300</v>
      </c>
      <c r="C495" t="str">
        <f>IFERROR(IF(OR(L495="Fri",L495="Ferie",L495="Syk",L495="Omsorg",B495&lt;Start!$B$7),0,IF(IFERROR(MATCH(B495,Start!A$253:A$273,0),0)&gt;0,VLOOKUP(B495,Start!A$253:F$273,3,FALSE)/100*Start!$B$4,VLOOKUP(WEEKDAY(B495,2),Start!A$240:F$246,4,FALSE))),"")</f>
        <v/>
      </c>
      <c r="D495" t="str">
        <f>IFERROR(IF(OR(U495="Fri",U495="Ferie",U495="Syk",U495="Omsorg",B495&lt;Start!$F$7),0,IF(IFERROR(MATCH(B495,Start!A$253:A$273,0),0)&gt;0,VLOOKUP(B495,Start!A$253:F$273,3,FALSE)/100*Start!$F$4,VLOOKUP(WEEKDAY(B495,2),Start!A$240:F$246,6,FALSE))),"")</f>
        <v/>
      </c>
      <c r="E495">
        <f t="shared" ca="1" si="558"/>
        <v>0</v>
      </c>
      <c r="F495">
        <f>IFERROR(IF(YEAR(B495)=Start!$B$1,MONTH(B495),""),"")</f>
        <v>10</v>
      </c>
      <c r="G495" s="64" t="str">
        <f>IFERROR(VLOOKUP(B495,Start!A$111:B$273,2,FALSE),"")</f>
        <v/>
      </c>
      <c r="H495" s="21"/>
      <c r="I495" s="78">
        <v>0.33333333333333331</v>
      </c>
      <c r="J495" s="78">
        <v>0.33333333333333331</v>
      </c>
      <c r="K495" s="1" t="str">
        <f>IF(Start!$B$6="Ja","",IF(((J495-I495)*24)&gt;=5.5,"X",""))</f>
        <v/>
      </c>
      <c r="L495" s="1" t="str">
        <f>IF(_xlfn.IFNA(MATCH($A495,Start!$H$3:$H$11,0),0)&gt;0,"Ferie",IFERROR(IF(VLOOKUP(B495,Start!A$165:B$234,2,FALSE)&gt;0,"Fri",0),IF(AND((J495-I495)=0,Z495=""),"",MAX((IF(K495="X",(J495-I495)*24-0.5,(J495-I495)*24)),Z495))))</f>
        <v/>
      </c>
      <c r="M495" s="58"/>
      <c r="N495" s="21" t="str">
        <f t="shared" ref="N495:N501" si="567">IF(H495=0,"",H495)</f>
        <v/>
      </c>
      <c r="O495" s="21" t="str">
        <f t="shared" ref="O495:O501" si="568">IF(L495=0,"",L495)</f>
        <v/>
      </c>
      <c r="P495" s="2"/>
      <c r="Q495" s="21"/>
      <c r="R495" s="78">
        <v>0.33333333333333331</v>
      </c>
      <c r="S495" s="78">
        <v>0.33333333333333331</v>
      </c>
      <c r="T495" s="1" t="str">
        <f>IF(Start!$B$6="Ja","",IF(((S495-R495)*24)&gt;=5.5,"X",""))</f>
        <v/>
      </c>
      <c r="U495" s="1" t="str">
        <f>IF(_xlfn.IFNA(MATCH($A$15,Start!$H$3:$H$11,0),0)&gt;0,"Ferie",(IF(L495="fri","Fri",(IF(L495="syk","Syk",IF(L495="Ferie","Ferie",IF(AND((S495-R495)=0,AB495=""),"",MAX((IF(T495="X",(S495-R495)*24-0.5,(S495-R495)*24)),AB495))))))))</f>
        <v/>
      </c>
      <c r="V495" s="58"/>
      <c r="W495" s="21" t="str">
        <f t="shared" ref="W495:W501" si="569">IF(Q495=0,"",Q495)</f>
        <v/>
      </c>
      <c r="X495" s="21" t="str">
        <f t="shared" ref="X495:X501" si="570">IF(U495=0,"",U495)</f>
        <v/>
      </c>
      <c r="Z495" s="70" t="str">
        <f>IF(SUMIFS(TrackingTime!H:H,TrackingTime!F:F,Timer!B495,TrackingTime!C:C,"Hovedkontoret")&gt;0,SUMIFS(TrackingTime!H:H,TrackingTime!F:F,Timer!B495,TrackingTime!C:C,"Hovedkontoret"),"")</f>
        <v/>
      </c>
      <c r="AA495" s="71" t="str">
        <f t="shared" si="529"/>
        <v/>
      </c>
      <c r="AB495" t="str">
        <f>IF(SUMIFS(TrackingTime!H:H,TrackingTime!F:F,Timer!B495,TrackingTime!C:C,Start!$F$3)&gt;0,SUMIFS(TrackingTime!H:H,TrackingTime!F:F,Timer!B495,TrackingTime!C:C,Start!$F$3),"")</f>
        <v/>
      </c>
      <c r="AC495" s="71" t="str">
        <f t="shared" si="532"/>
        <v/>
      </c>
    </row>
    <row r="496" spans="1:29" x14ac:dyDescent="0.25">
      <c r="A496" s="15"/>
      <c r="B496" s="63">
        <f t="shared" ref="B496:B501" si="571">B495+DAY(1)</f>
        <v>46301</v>
      </c>
      <c r="C496" t="str">
        <f>IFERROR(IF(OR(L496="Fri",L496="Ferie",L496="Syk",L496="Omsorg",B496&lt;Start!$B$7),0,IF(IFERROR(MATCH(B496,Start!A$253:A$273,0),0)&gt;0,VLOOKUP(B496,Start!A$253:F$273,3,FALSE)/100*Start!$B$4,VLOOKUP(WEEKDAY(B496,2),Start!A$240:F$246,4,FALSE))),"")</f>
        <v/>
      </c>
      <c r="D496" t="str">
        <f>IFERROR(IF(OR(U496="Fri",U496="Ferie",U496="Syk",U496="Omsorg",B496&lt;Start!$F$7),0,IF(IFERROR(MATCH(B496,Start!A$253:A$273,0),0)&gt;0,VLOOKUP(B496,Start!A$253:F$273,3,FALSE)/100*Start!$F$4,VLOOKUP(WEEKDAY(B496,2),Start!A$240:F$246,6,FALSE))),"")</f>
        <v/>
      </c>
      <c r="E496">
        <f t="shared" ca="1" si="558"/>
        <v>0</v>
      </c>
      <c r="F496">
        <f>IFERROR(IF(YEAR(B496)=Start!$B$1,MONTH(B496),""),"")</f>
        <v>10</v>
      </c>
      <c r="G496" s="64" t="str">
        <f>IFERROR(VLOOKUP(B496,Start!A$111:B$273,2,FALSE),"")</f>
        <v/>
      </c>
      <c r="H496" s="21"/>
      <c r="I496" s="78">
        <v>0.33333333333333331</v>
      </c>
      <c r="J496" s="78">
        <v>0.33333333333333331</v>
      </c>
      <c r="K496" s="1" t="str">
        <f>IF(Start!$B$6="Ja","",IF(((J496-I496)*24)&gt;=5.5,"X",""))</f>
        <v/>
      </c>
      <c r="L496" s="1" t="str">
        <f>IF(_xlfn.IFNA(MATCH($A495,Start!$H$3:$H$11,0),0)&gt;0,"Ferie",IFERROR(IF(VLOOKUP($B496,Start!$A$165:$B$234,2,FALSE)&gt;0,"Fri",0),IF(AND((J496-I496)=0,Z496=""),"",MAX((IF(K496="X",(J496-I496)*24-0.5,(J496-I496)*24)),Z496))))</f>
        <v/>
      </c>
      <c r="M496" s="58"/>
      <c r="N496" s="21" t="str">
        <f t="shared" si="567"/>
        <v/>
      </c>
      <c r="O496" s="21" t="str">
        <f t="shared" si="568"/>
        <v/>
      </c>
      <c r="P496" s="2"/>
      <c r="Q496" s="21"/>
      <c r="R496" s="78">
        <v>0.33333333333333331</v>
      </c>
      <c r="S496" s="78">
        <v>0.33333333333333331</v>
      </c>
      <c r="T496" s="1" t="str">
        <f>IF(Start!$B$6="Ja","",IF(((S496-R496)*24)&gt;=5.5,"X",""))</f>
        <v/>
      </c>
      <c r="U496" s="1" t="str">
        <f>IF(_xlfn.IFNA(MATCH($A$15,Start!$H$3:$H$11,0),0)&gt;0,"Ferie",(IF(L496="fri","Fri",(IF(L496="syk","Syk",IF(L496="Ferie","Ferie",IF(AND((S496-R496)=0,AB496=""),"",MAX((IF(T496="X",(S496-R496)*24-0.5,(S496-R496)*24)),AB496))))))))</f>
        <v/>
      </c>
      <c r="V496" s="58"/>
      <c r="W496" s="21" t="str">
        <f t="shared" si="569"/>
        <v/>
      </c>
      <c r="X496" s="21" t="str">
        <f t="shared" si="570"/>
        <v/>
      </c>
      <c r="Z496" s="70" t="str">
        <f>IF(SUMIFS(TrackingTime!H:H,TrackingTime!F:F,Timer!B496,TrackingTime!C:C,"Hovedkontoret")&gt;0,SUMIFS(TrackingTime!H:H,TrackingTime!F:F,Timer!B496,TrackingTime!C:C,"Hovedkontoret"),"")</f>
        <v/>
      </c>
      <c r="AA496" s="71" t="str">
        <f t="shared" si="529"/>
        <v/>
      </c>
      <c r="AB496" t="str">
        <f>IF(SUMIFS(TrackingTime!H:H,TrackingTime!F:F,Timer!B496,TrackingTime!C:C,Start!$F$3)&gt;0,SUMIFS(TrackingTime!H:H,TrackingTime!F:F,Timer!B496,TrackingTime!C:C,Start!$F$3),"")</f>
        <v/>
      </c>
      <c r="AC496" s="71" t="str">
        <f t="shared" si="532"/>
        <v/>
      </c>
    </row>
    <row r="497" spans="1:29" x14ac:dyDescent="0.25">
      <c r="A497" s="15"/>
      <c r="B497" s="63">
        <f t="shared" si="571"/>
        <v>46302</v>
      </c>
      <c r="C497" t="str">
        <f>IFERROR(IF(OR(L497="Fri",L497="Ferie",L497="Syk",L497="Omsorg",B497&lt;Start!$B$7),0,IF(IFERROR(MATCH(B497,Start!A$253:A$273,0),0)&gt;0,VLOOKUP(B497,Start!A$253:F$273,3,FALSE)/100*Start!$B$4,VLOOKUP(WEEKDAY(B497,2),Start!A$240:F$246,4,FALSE))),"")</f>
        <v/>
      </c>
      <c r="D497" t="str">
        <f>IFERROR(IF(OR(U497="Fri",U497="Ferie",U497="Syk",U497="Omsorg",B497&lt;Start!$F$7),0,IF(IFERROR(MATCH(B497,Start!A$253:A$273,0),0)&gt;0,VLOOKUP(B497,Start!A$253:F$273,3,FALSE)/100*Start!$F$4,VLOOKUP(WEEKDAY(B497,2),Start!A$240:F$246,6,FALSE))),"")</f>
        <v/>
      </c>
      <c r="E497">
        <f t="shared" ca="1" si="558"/>
        <v>0</v>
      </c>
      <c r="F497">
        <f>IFERROR(IF(YEAR(B497)=Start!$B$1,MONTH(B497),""),"")</f>
        <v>10</v>
      </c>
      <c r="G497" s="64" t="str">
        <f>IFERROR(VLOOKUP(B497,Start!A$111:B$273,2,FALSE),"")</f>
        <v/>
      </c>
      <c r="H497" s="21"/>
      <c r="I497" s="78">
        <v>0.33333333333333331</v>
      </c>
      <c r="J497" s="78">
        <v>0.33333333333333331</v>
      </c>
      <c r="K497" s="1" t="str">
        <f>IF(Start!$B$6="Ja","",IF(((J497-I497)*24)&gt;=5.5,"X",""))</f>
        <v/>
      </c>
      <c r="L497" s="1" t="str">
        <f>IF(_xlfn.IFNA(MATCH($A495,Start!$H$3:$H$11,0),0)&gt;0,"Ferie",IFERROR(IF(VLOOKUP(B497,Start!A$165:B$234,2,FALSE)&gt;0,"Fri",0),IF(AND((J497-I497)=0,Z497=""),"",MAX((IF(K497="X",(J497-I497)*24-0.5,(J497-I497)*24)),Z497))))</f>
        <v/>
      </c>
      <c r="M497" s="58"/>
      <c r="N497" s="21" t="str">
        <f t="shared" si="567"/>
        <v/>
      </c>
      <c r="O497" s="21" t="str">
        <f t="shared" si="568"/>
        <v/>
      </c>
      <c r="P497" s="2"/>
      <c r="Q497" s="21"/>
      <c r="R497" s="78">
        <v>0.33333333333333331</v>
      </c>
      <c r="S497" s="78">
        <v>0.33333333333333331</v>
      </c>
      <c r="T497" s="1" t="str">
        <f>IF(Start!$B$6="Ja","",IF(((S497-R497)*24)&gt;=5.5,"X",""))</f>
        <v/>
      </c>
      <c r="U497" s="1" t="str">
        <f>IF(_xlfn.IFNA(MATCH($A$15,Start!$H$3:$H$11,0),0)&gt;0,"Ferie",(IF(L497="fri","Fri",(IF(L497="syk","Syk",IF(L497="Ferie","Ferie",IF(AND((S497-R497)=0,AB497=""),"",MAX((IF(T497="X",(S497-R497)*24-0.5,(S497-R497)*24)),AB497))))))))</f>
        <v/>
      </c>
      <c r="V497" s="58"/>
      <c r="W497" s="21" t="str">
        <f t="shared" si="569"/>
        <v/>
      </c>
      <c r="X497" s="21" t="str">
        <f t="shared" si="570"/>
        <v/>
      </c>
      <c r="Z497" s="70" t="str">
        <f>IF(SUMIFS(TrackingTime!H:H,TrackingTime!F:F,Timer!B497,TrackingTime!C:C,"Hovedkontoret")&gt;0,SUMIFS(TrackingTime!H:H,TrackingTime!F:F,Timer!B497,TrackingTime!C:C,"Hovedkontoret"),"")</f>
        <v/>
      </c>
      <c r="AA497" s="71" t="str">
        <f t="shared" si="529"/>
        <v/>
      </c>
      <c r="AB497" t="str">
        <f>IF(SUMIFS(TrackingTime!H:H,TrackingTime!F:F,Timer!B497,TrackingTime!C:C,Start!$F$3)&gt;0,SUMIFS(TrackingTime!H:H,TrackingTime!F:F,Timer!B497,TrackingTime!C:C,Start!$F$3),"")</f>
        <v/>
      </c>
      <c r="AC497" s="71" t="str">
        <f t="shared" si="532"/>
        <v/>
      </c>
    </row>
    <row r="498" spans="1:29" x14ac:dyDescent="0.25">
      <c r="A498" s="15"/>
      <c r="B498" s="63">
        <f t="shared" si="571"/>
        <v>46303</v>
      </c>
      <c r="C498" t="str">
        <f>IFERROR(IF(OR(L498="Fri",L498="Ferie",L498="Syk",L498="Omsorg",B498&lt;Start!$B$7),0,IF(IFERROR(MATCH(B498,Start!A$253:A$273,0),0)&gt;0,VLOOKUP(B498,Start!A$253:F$273,3,FALSE)/100*Start!$B$4,VLOOKUP(WEEKDAY(B498,2),Start!A$240:F$246,4,FALSE))),"")</f>
        <v/>
      </c>
      <c r="D498" t="str">
        <f>IFERROR(IF(OR(U498="Fri",U498="Ferie",U498="Syk",U498="Omsorg",B498&lt;Start!$F$7),0,IF(IFERROR(MATCH(B498,Start!A$253:A$273,0),0)&gt;0,VLOOKUP(B498,Start!A$253:F$273,3,FALSE)/100*Start!$F$4,VLOOKUP(WEEKDAY(B498,2),Start!A$240:F$246,6,FALSE))),"")</f>
        <v/>
      </c>
      <c r="E498">
        <f t="shared" ca="1" si="558"/>
        <v>0</v>
      </c>
      <c r="F498">
        <f>IFERROR(IF(YEAR(B498)=Start!$B$1,MONTH(B498),""),"")</f>
        <v>10</v>
      </c>
      <c r="G498" s="64" t="str">
        <f>IFERROR(VLOOKUP(B498,Start!A$111:B$273,2,FALSE),"")</f>
        <v/>
      </c>
      <c r="H498" s="21"/>
      <c r="I498" s="78">
        <v>0.33333333333333331</v>
      </c>
      <c r="J498" s="78">
        <v>0.33333333333333331</v>
      </c>
      <c r="K498" s="1" t="str">
        <f>IF(Start!$B$6="Ja","",IF(((J498-I498)*24)&gt;=5.5,"X",""))</f>
        <v/>
      </c>
      <c r="L498" s="1" t="str">
        <f>IF(_xlfn.IFNA(MATCH($A495,Start!$H$3:$H$11,0),0)&gt;0,"Ferie",IFERROR(IF(VLOOKUP(B498,Start!A$165:B$234,2,FALSE)&gt;0,"Fri",0),IF(AND((J498-I498)=0,Z498=""),"",MAX((IF(K498="X",(J498-I498)*24-0.5,(J498-I498)*24)),Z498))))</f>
        <v/>
      </c>
      <c r="M498" s="58"/>
      <c r="N498" s="21" t="str">
        <f t="shared" si="567"/>
        <v/>
      </c>
      <c r="O498" s="21" t="str">
        <f t="shared" si="568"/>
        <v/>
      </c>
      <c r="P498" s="2"/>
      <c r="Q498" s="21"/>
      <c r="R498" s="78">
        <v>0.33333333333333331</v>
      </c>
      <c r="S498" s="78">
        <v>0.33333333333333331</v>
      </c>
      <c r="T498" s="1" t="str">
        <f>IF(Start!$B$6="Ja","",IF(((S498-R498)*24)&gt;=5.5,"X",""))</f>
        <v/>
      </c>
      <c r="U498" s="1" t="str">
        <f>IF(_xlfn.IFNA(MATCH($A$15,Start!$H$3:$H$11,0),0)&gt;0,"Ferie",(IF(L498="fri","Fri",(IF(L498="syk","Syk",IF(L498="Ferie","Ferie",IF(AND((S498-R498)=0,AB498=""),"",MAX((IF(T498="X",(S498-R498)*24-0.5,(S498-R498)*24)),AB498))))))))</f>
        <v/>
      </c>
      <c r="V498" s="58"/>
      <c r="W498" s="21" t="str">
        <f t="shared" si="569"/>
        <v/>
      </c>
      <c r="X498" s="21" t="str">
        <f t="shared" si="570"/>
        <v/>
      </c>
      <c r="Z498" s="70" t="str">
        <f>IF(SUMIFS(TrackingTime!H:H,TrackingTime!F:F,Timer!B498,TrackingTime!C:C,"Hovedkontoret")&gt;0,SUMIFS(TrackingTime!H:H,TrackingTime!F:F,Timer!B498,TrackingTime!C:C,"Hovedkontoret"),"")</f>
        <v/>
      </c>
      <c r="AA498" s="71" t="str">
        <f t="shared" si="529"/>
        <v/>
      </c>
      <c r="AB498" t="str">
        <f>IF(SUMIFS(TrackingTime!H:H,TrackingTime!F:F,Timer!B498,TrackingTime!C:C,Start!$F$3)&gt;0,SUMIFS(TrackingTime!H:H,TrackingTime!F:F,Timer!B498,TrackingTime!C:C,Start!$F$3),"")</f>
        <v/>
      </c>
      <c r="AC498" s="71" t="str">
        <f t="shared" si="532"/>
        <v/>
      </c>
    </row>
    <row r="499" spans="1:29" x14ac:dyDescent="0.25">
      <c r="A499" s="15"/>
      <c r="B499" s="63">
        <f t="shared" si="571"/>
        <v>46304</v>
      </c>
      <c r="C499" t="str">
        <f>IFERROR(IF(OR(L499="Fri",L499="Ferie",L499="Syk",L499="Omsorg",B499&lt;Start!$B$7),0,IF(IFERROR(MATCH(B499,Start!A$253:A$273,0),0)&gt;0,VLOOKUP(B499,Start!A$253:F$273,3,FALSE)/100*Start!$B$4,VLOOKUP(WEEKDAY(B499,2),Start!A$240:F$246,4,FALSE))),"")</f>
        <v/>
      </c>
      <c r="D499" t="str">
        <f>IFERROR(IF(OR(U499="Fri",U499="Ferie",U499="Syk",U499="Omsorg",B499&lt;Start!$F$7),0,IF(IFERROR(MATCH(B499,Start!A$253:A$273,0),0)&gt;0,VLOOKUP(B499,Start!A$253:F$273,3,FALSE)/100*Start!$F$4,VLOOKUP(WEEKDAY(B499,2),Start!A$240:F$246,6,FALSE))),"")</f>
        <v/>
      </c>
      <c r="E499">
        <f t="shared" ca="1" si="558"/>
        <v>0</v>
      </c>
      <c r="F499">
        <f>IFERROR(IF(YEAR(B499)=Start!$B$1,MONTH(B499),""),"")</f>
        <v>10</v>
      </c>
      <c r="G499" s="64" t="str">
        <f>IFERROR(VLOOKUP(B499,Start!A$111:B$273,2,FALSE),"")</f>
        <v/>
      </c>
      <c r="H499" s="21"/>
      <c r="I499" s="78">
        <v>0.33333333333333331</v>
      </c>
      <c r="J499" s="78">
        <v>0.33333333333333331</v>
      </c>
      <c r="K499" s="1" t="str">
        <f>IF(Start!$B$6="Ja","",IF(((J499-I499)*24)&gt;=5.5,"X",""))</f>
        <v/>
      </c>
      <c r="L499" s="1" t="str">
        <f>IF(_xlfn.IFNA(MATCH($A495,Start!$H$3:$H$11,0),0)&gt;0,"Ferie",IFERROR(IF(VLOOKUP(B499,Start!A$165:B$234,2,FALSE)&gt;0,"Fri",0),IF(AND((J499-I499)=0,Z499=""),"",MAX((IF(K499="X",(J499-I499)*24-0.5,(J499-I499)*24)),Z499))))</f>
        <v/>
      </c>
      <c r="M499" s="58"/>
      <c r="N499" s="21" t="str">
        <f t="shared" si="567"/>
        <v/>
      </c>
      <c r="O499" s="21" t="str">
        <f t="shared" si="568"/>
        <v/>
      </c>
      <c r="P499" s="2"/>
      <c r="Q499" s="21"/>
      <c r="R499" s="78">
        <v>0.33333333333333331</v>
      </c>
      <c r="S499" s="78">
        <v>0.33333333333333331</v>
      </c>
      <c r="T499" s="1" t="str">
        <f>IF(Start!$B$6="Ja","",IF(((S499-R499)*24)&gt;=5.5,"X",""))</f>
        <v/>
      </c>
      <c r="U499" s="1" t="str">
        <f>IF(_xlfn.IFNA(MATCH($A$15,Start!$H$3:$H$11,0),0)&gt;0,"Ferie",(IF(L499="fri","Fri",(IF(L499="syk","Syk",IF(L499="Ferie","Ferie",IF(AND((S499-R499)=0,AB499=""),"",MAX((IF(T499="X",(S499-R499)*24-0.5,(S499-R499)*24)),AB499))))))))</f>
        <v/>
      </c>
      <c r="V499" s="58"/>
      <c r="W499" s="21" t="str">
        <f t="shared" si="569"/>
        <v/>
      </c>
      <c r="X499" s="21" t="str">
        <f t="shared" si="570"/>
        <v/>
      </c>
      <c r="Z499" s="70" t="str">
        <f>IF(SUMIFS(TrackingTime!H:H,TrackingTime!F:F,Timer!B499,TrackingTime!C:C,"Hovedkontoret")&gt;0,SUMIFS(TrackingTime!H:H,TrackingTime!F:F,Timer!B499,TrackingTime!C:C,"Hovedkontoret"),"")</f>
        <v/>
      </c>
      <c r="AA499" s="71" t="str">
        <f t="shared" si="529"/>
        <v/>
      </c>
      <c r="AB499" t="str">
        <f>IF(SUMIFS(TrackingTime!H:H,TrackingTime!F:F,Timer!B499,TrackingTime!C:C,Start!$F$3)&gt;0,SUMIFS(TrackingTime!H:H,TrackingTime!F:F,Timer!B499,TrackingTime!C:C,Start!$F$3),"")</f>
        <v/>
      </c>
      <c r="AC499" s="71" t="str">
        <f t="shared" si="532"/>
        <v/>
      </c>
    </row>
    <row r="500" spans="1:29" x14ac:dyDescent="0.25">
      <c r="A500" s="15"/>
      <c r="B500" s="63">
        <f t="shared" si="571"/>
        <v>46305</v>
      </c>
      <c r="C500">
        <f>IFERROR(IF(OR(L500="Fri",L500="Ferie",L500="Syk",L500="Omsorg",B500&lt;Start!$B$7),0,IF(IFERROR(MATCH(B500,Start!A$253:A$273,0),0)&gt;0,VLOOKUP(B500,Start!A$253:F$273,3,FALSE)/100*Start!$B$4,VLOOKUP(WEEKDAY(B500,2),Start!A$240:F$246,4,FALSE))),"")</f>
        <v>0</v>
      </c>
      <c r="D500">
        <f>IFERROR(IF(OR(U500="Fri",U500="Ferie",U500="Syk",U500="Omsorg",B500&lt;Start!$F$7),0,IF(IFERROR(MATCH(B500,Start!A$253:A$273,0),0)&gt;0,VLOOKUP(B500,Start!A$253:F$273,3,FALSE)/100*Start!$F$4,VLOOKUP(WEEKDAY(B500,2),Start!A$240:F$246,6,FALSE))),"")</f>
        <v>0</v>
      </c>
      <c r="E500">
        <f t="shared" ca="1" si="558"/>
        <v>0</v>
      </c>
      <c r="F500">
        <f>IFERROR(IF(YEAR(B500)=Start!$B$1,MONTH(B500),""),"")</f>
        <v>10</v>
      </c>
      <c r="G500" s="64" t="str">
        <f>IFERROR(VLOOKUP(B500,Start!A$111:B$273,2,FALSE),"")</f>
        <v/>
      </c>
      <c r="H500" s="21"/>
      <c r="I500" s="78">
        <v>0.41666666666666669</v>
      </c>
      <c r="J500" s="78">
        <v>0.41666666666666669</v>
      </c>
      <c r="K500" s="1" t="str">
        <f>IF(Start!$B$6="Ja","",IF(((J500-I500)*24)&gt;=5.5,"X",""))</f>
        <v/>
      </c>
      <c r="L500" s="1" t="str">
        <f t="shared" ref="L500:L501" si="572">IF(AND((J500-I500)=0,Z500=""),"",MAX((IF(K500="X",(J500-I500)*24-0.5,(J500-I500)*24)),Z500))</f>
        <v/>
      </c>
      <c r="M500" s="58"/>
      <c r="N500" s="21" t="str">
        <f t="shared" si="567"/>
        <v/>
      </c>
      <c r="O500" s="21" t="str">
        <f t="shared" si="568"/>
        <v/>
      </c>
      <c r="P500" s="2"/>
      <c r="Q500" s="21"/>
      <c r="R500" s="78">
        <v>0.41666666666666669</v>
      </c>
      <c r="S500" s="78">
        <v>0.41666666666666669</v>
      </c>
      <c r="T500" s="1" t="str">
        <f>IF(Start!$B$6="Ja","",IF(((S500-R500)*24)&gt;=5.5,"X",""))</f>
        <v/>
      </c>
      <c r="U500" s="1" t="str">
        <f t="shared" ref="U500:U501" si="573">IF(AND((S500-R500)=0,AB500=""),"",MAX((IF(T500="X",(S500-R500)*24-0.5,(S500-R500)*24)),AB500))</f>
        <v/>
      </c>
      <c r="V500" s="58"/>
      <c r="W500" s="21" t="str">
        <f t="shared" si="569"/>
        <v/>
      </c>
      <c r="X500" s="21" t="str">
        <f t="shared" si="570"/>
        <v/>
      </c>
      <c r="Z500" s="70" t="str">
        <f>IF(SUMIFS(TrackingTime!H:H,TrackingTime!F:F,Timer!B500,TrackingTime!C:C,"Hovedkontoret")&gt;0,SUMIFS(TrackingTime!H:H,TrackingTime!F:F,Timer!B500,TrackingTime!C:C,"Hovedkontoret"),"")</f>
        <v/>
      </c>
      <c r="AA500" s="71" t="str">
        <f t="shared" si="529"/>
        <v/>
      </c>
      <c r="AB500" t="str">
        <f>IF(SUMIFS(TrackingTime!H:H,TrackingTime!F:F,Timer!B500,TrackingTime!C:C,Start!$F$3)&gt;0,SUMIFS(TrackingTime!H:H,TrackingTime!F:F,Timer!B500,TrackingTime!C:C,Start!$F$3),"")</f>
        <v/>
      </c>
      <c r="AC500" s="71" t="str">
        <f t="shared" si="532"/>
        <v/>
      </c>
    </row>
    <row r="501" spans="1:29" x14ac:dyDescent="0.25">
      <c r="A501" s="15"/>
      <c r="B501" s="63">
        <f t="shared" si="571"/>
        <v>46306</v>
      </c>
      <c r="C501">
        <f>IFERROR(IF(OR(L501="Fri",L501="Ferie",L501="Syk",L501="Omsorg",B501&lt;Start!$B$7),0,IF(IFERROR(MATCH(B501,Start!A$253:A$273,0),0)&gt;0,VLOOKUP(B501,Start!A$253:F$273,3,FALSE)/100*Start!$B$4,VLOOKUP(WEEKDAY(B501,2),Start!A$240:F$246,4,FALSE))),"")</f>
        <v>0</v>
      </c>
      <c r="D501">
        <f>IFERROR(IF(OR(U501="Fri",U501="Ferie",U501="Syk",U501="Omsorg",B501&lt;Start!$F$7),0,IF(IFERROR(MATCH(B501,Start!A$253:A$273,0),0)&gt;0,VLOOKUP(B501,Start!A$253:F$273,3,FALSE)/100*Start!$F$4,VLOOKUP(WEEKDAY(B501,2),Start!A$240:F$246,6,FALSE))),"")</f>
        <v>0</v>
      </c>
      <c r="E501">
        <f t="shared" ca="1" si="558"/>
        <v>0</v>
      </c>
      <c r="F501">
        <f>IFERROR(IF(YEAR(B501)=Start!$B$1,MONTH(B501),""),"")</f>
        <v>10</v>
      </c>
      <c r="G501" s="64" t="str">
        <f>IFERROR(VLOOKUP(B501,Start!A$111:B$273,2,FALSE),"")</f>
        <v/>
      </c>
      <c r="H501" s="25"/>
      <c r="I501" s="78">
        <v>0.41666666666666669</v>
      </c>
      <c r="J501" s="78">
        <v>0.41666666666666669</v>
      </c>
      <c r="K501" s="1" t="str">
        <f>IF(Start!$B$6="Ja","",IF(((J501-I501)*24)&gt;=5.5,"X",""))</f>
        <v/>
      </c>
      <c r="L501" s="1" t="str">
        <f t="shared" si="572"/>
        <v/>
      </c>
      <c r="M501" s="58"/>
      <c r="N501" s="21" t="str">
        <f t="shared" si="567"/>
        <v/>
      </c>
      <c r="O501" s="21" t="str">
        <f t="shared" si="568"/>
        <v/>
      </c>
      <c r="Q501" s="25"/>
      <c r="R501" s="78">
        <v>0.41666666666666669</v>
      </c>
      <c r="S501" s="78">
        <v>0.41666666666666669</v>
      </c>
      <c r="T501" s="1" t="str">
        <f>IF(Start!$B$6="Ja","",IF(((S501-R501)*24)&gt;=5.5,"X",""))</f>
        <v/>
      </c>
      <c r="U501" s="1" t="str">
        <f t="shared" si="573"/>
        <v/>
      </c>
      <c r="V501" s="58"/>
      <c r="W501" s="21" t="str">
        <f t="shared" si="569"/>
        <v/>
      </c>
      <c r="X501" s="21" t="str">
        <f t="shared" si="570"/>
        <v/>
      </c>
      <c r="Z501" s="70" t="str">
        <f>IF(SUMIFS(TrackingTime!H:H,TrackingTime!F:F,Timer!B501,TrackingTime!C:C,"Hovedkontoret")&gt;0,SUMIFS(TrackingTime!H:H,TrackingTime!F:F,Timer!B501,TrackingTime!C:C,"Hovedkontoret"),"")</f>
        <v/>
      </c>
      <c r="AA501" s="71" t="str">
        <f t="shared" si="529"/>
        <v/>
      </c>
      <c r="AB501" t="str">
        <f>IF(SUMIFS(TrackingTime!H:H,TrackingTime!F:F,Timer!B501,TrackingTime!C:C,Start!$F$3)&gt;0,SUMIFS(TrackingTime!H:H,TrackingTime!F:F,Timer!B501,TrackingTime!C:C,Start!$F$3),"")</f>
        <v/>
      </c>
      <c r="AC501" s="71" t="str">
        <f t="shared" si="532"/>
        <v/>
      </c>
    </row>
    <row r="502" spans="1:29" x14ac:dyDescent="0.25">
      <c r="A502" s="15"/>
      <c r="B502" s="4" t="s">
        <v>11</v>
      </c>
      <c r="C502" s="24"/>
      <c r="D502" s="24"/>
      <c r="E502" s="24">
        <f t="shared" ca="1" si="558"/>
        <v>0</v>
      </c>
      <c r="F502" s="24" t="str">
        <f>IFERROR(IF(YEAR(B502)=Start!$B$1,MONTH(B502),""),"")</f>
        <v/>
      </c>
      <c r="G502" s="64" t="str">
        <f>IFERROR(VLOOKUP(B502,Start!A$111:B$273,2,FALSE),"")</f>
        <v/>
      </c>
      <c r="H502" s="4"/>
      <c r="I502" s="4"/>
      <c r="J502" s="4"/>
      <c r="K502" s="4"/>
      <c r="L502" s="5">
        <f t="shared" si="515"/>
        <v>0</v>
      </c>
      <c r="N502" s="24"/>
      <c r="O502" s="39">
        <f t="shared" ref="O502" si="574">SUM(O495:O501)</f>
        <v>0</v>
      </c>
      <c r="P502" s="40"/>
      <c r="Q502" s="41"/>
      <c r="R502" s="4"/>
      <c r="S502" s="4"/>
      <c r="T502" s="4"/>
      <c r="U502" s="5">
        <f t="shared" ref="U502" si="575">SUM($U495:$U501)</f>
        <v>0</v>
      </c>
      <c r="V502" s="58"/>
      <c r="W502" s="39"/>
      <c r="X502" s="39">
        <f t="shared" si="535"/>
        <v>0</v>
      </c>
      <c r="Z502" s="70" t="str">
        <f>IF(SUMIFS(TrackingTime!H:H,TrackingTime!F:F,Timer!B502,TrackingTime!C:C,"Hovedkontoret")&gt;0,SUMIFS(TrackingTime!H:H,TrackingTime!F:F,Timer!B502,TrackingTime!C:C,"Hovedkontoret"),"")</f>
        <v/>
      </c>
      <c r="AA502" s="71" t="str">
        <f t="shared" si="529"/>
        <v/>
      </c>
      <c r="AB502" t="str">
        <f>IF(SUMIFS(TrackingTime!H:H,TrackingTime!F:F,Timer!B502,TrackingTime!C:C,Start!$F$3)&gt;0,SUMIFS(TrackingTime!H:H,TrackingTime!F:F,Timer!B502,TrackingTime!C:C,Start!$F$3),"")</f>
        <v/>
      </c>
      <c r="AC502" s="71" t="str">
        <f t="shared" si="532"/>
        <v/>
      </c>
    </row>
    <row r="503" spans="1:29" x14ac:dyDescent="0.25">
      <c r="A503" s="15"/>
      <c r="B503" t="s">
        <v>90</v>
      </c>
      <c r="E503">
        <f t="shared" ca="1" si="558"/>
        <v>0</v>
      </c>
      <c r="F503" t="str">
        <f>IFERROR(IF(YEAR(B503)=Start!$B$1,MONTH(B503),""),"")</f>
        <v/>
      </c>
      <c r="G503" s="64" t="str">
        <f>IFERROR(VLOOKUP(B503,Start!A$111:B$273,2,FALSE),"")</f>
        <v/>
      </c>
      <c r="L503" s="1">
        <f t="shared" si="518"/>
        <v>0</v>
      </c>
      <c r="M503" s="1"/>
      <c r="N503" s="1"/>
      <c r="O503" s="21">
        <f t="shared" ref="O503" si="576">L503</f>
        <v>0</v>
      </c>
      <c r="P503" s="40"/>
      <c r="Q503" s="21"/>
      <c r="U503" s="1">
        <f t="shared" ref="U503" si="577">SUMIFS(D495:D501,F495:F501,"&gt;0")</f>
        <v>0</v>
      </c>
      <c r="V503" s="1"/>
      <c r="W503" s="1"/>
      <c r="X503" s="21">
        <f>U503</f>
        <v>0</v>
      </c>
      <c r="Z503" s="70" t="str">
        <f>IF(SUMIFS(TrackingTime!H:H,TrackingTime!F:F,Timer!B503,TrackingTime!C:C,"Hovedkontoret")&gt;0,SUMIFS(TrackingTime!H:H,TrackingTime!F:F,Timer!B503,TrackingTime!C:C,"Hovedkontoret"),"")</f>
        <v/>
      </c>
      <c r="AA503" s="71" t="str">
        <f t="shared" si="529"/>
        <v/>
      </c>
      <c r="AB503" t="str">
        <f>IF(SUMIFS(TrackingTime!H:H,TrackingTime!F:F,Timer!B503,TrackingTime!C:C,Start!$F$3)&gt;0,SUMIFS(TrackingTime!H:H,TrackingTime!F:F,Timer!B503,TrackingTime!C:C,Start!$F$3),"")</f>
        <v/>
      </c>
      <c r="AC503" s="71" t="str">
        <f t="shared" si="532"/>
        <v/>
      </c>
    </row>
    <row r="504" spans="1:29" x14ac:dyDescent="0.25">
      <c r="A504" s="16">
        <f>B501-B495-1</f>
        <v>5</v>
      </c>
      <c r="B504" t="s">
        <v>117</v>
      </c>
      <c r="E504">
        <f t="shared" ca="1" si="558"/>
        <v>0</v>
      </c>
      <c r="F504" t="str">
        <f>IFERROR(IF(YEAR(B504)=Start!$B$1,MONTH(B504),""),"")</f>
        <v/>
      </c>
      <c r="G504" s="64" t="str">
        <f>IFERROR(VLOOKUP(B504,Start!A$111:B$273,2,FALSE),"")</f>
        <v/>
      </c>
      <c r="L504" s="77">
        <f t="shared" ca="1" si="521"/>
        <v>0</v>
      </c>
      <c r="O504" s="21">
        <f t="shared" ref="O504" si="578">O502-O503</f>
        <v>0</v>
      </c>
      <c r="P504" s="21"/>
      <c r="Q504" s="21"/>
      <c r="U504" s="1">
        <f t="shared" ref="U504" ca="1" si="579">U502-U503*(IF(NETWORKDAYS($B495,TODAY())&lt;0,0,IF(NETWORKDAYS($B495,TODAY())&lt;=$A504,NETWORKDAYS($B495,TODAY()),$A504)))/$A504</f>
        <v>0</v>
      </c>
      <c r="V504" s="58"/>
      <c r="W504" s="21"/>
      <c r="X504" s="21">
        <f>X502-X503</f>
        <v>0</v>
      </c>
      <c r="Z504" s="70" t="str">
        <f>IF(SUMIFS(TrackingTime!H:H,TrackingTime!F:F,Timer!B504,TrackingTime!C:C,"Hovedkontoret")&gt;0,SUMIFS(TrackingTime!H:H,TrackingTime!F:F,Timer!B504,TrackingTime!C:C,"Hovedkontoret"),"")</f>
        <v/>
      </c>
      <c r="AA504" s="71" t="str">
        <f t="shared" si="529"/>
        <v/>
      </c>
      <c r="AB504" t="str">
        <f>IF(SUMIFS(TrackingTime!H:H,TrackingTime!F:F,Timer!B504,TrackingTime!C:C,Start!$F$3)&gt;0,SUMIFS(TrackingTime!H:H,TrackingTime!F:F,Timer!B504,TrackingTime!C:C,Start!$F$3),"")</f>
        <v/>
      </c>
      <c r="AC504" s="71" t="str">
        <f t="shared" si="532"/>
        <v/>
      </c>
    </row>
    <row r="505" spans="1:29" x14ac:dyDescent="0.25">
      <c r="A505" s="15"/>
      <c r="E505">
        <f t="shared" ca="1" si="558"/>
        <v>1</v>
      </c>
      <c r="F505" t="str">
        <f>IFERROR(IF(YEAR(B505)=Start!$B$1,MONTH(B505),""),"")</f>
        <v/>
      </c>
      <c r="G505" s="64" t="str">
        <f>IFERROR(VLOOKUP(B505,Start!A$111:B$273,2,FALSE),"")</f>
        <v/>
      </c>
      <c r="O505" s="2"/>
      <c r="P505" s="2"/>
      <c r="U505" s="1"/>
      <c r="V505" s="7"/>
      <c r="X505" s="2"/>
      <c r="Z505" s="70" t="str">
        <f>IF(SUMIFS(TrackingTime!H:H,TrackingTime!F:F,Timer!B505,TrackingTime!C:C,"Hovedkontoret")&gt;0,SUMIFS(TrackingTime!H:H,TrackingTime!F:F,Timer!B505,TrackingTime!C:C,"Hovedkontoret"),"")</f>
        <v/>
      </c>
      <c r="AA505" s="71" t="str">
        <f t="shared" si="529"/>
        <v/>
      </c>
      <c r="AB505" t="str">
        <f>IF(SUMIFS(TrackingTime!H:H,TrackingTime!F:F,Timer!B505,TrackingTime!C:C,Start!$F$3)&gt;0,SUMIFS(TrackingTime!H:H,TrackingTime!F:F,Timer!B505,TrackingTime!C:C,Start!$F$3),"")</f>
        <v/>
      </c>
      <c r="AC505" s="71" t="str">
        <f t="shared" si="532"/>
        <v/>
      </c>
    </row>
    <row r="506" spans="1:29" x14ac:dyDescent="0.25">
      <c r="A506" s="2" t="s">
        <v>82</v>
      </c>
      <c r="B506" s="14" t="s">
        <v>83</v>
      </c>
      <c r="E506">
        <f t="shared" ca="1" si="558"/>
        <v>0</v>
      </c>
      <c r="F506" t="str">
        <f>IFERROR(IF(YEAR(B506)=Start!$B$1,MONTH(B506),""),"")</f>
        <v/>
      </c>
      <c r="G506" s="64" t="str">
        <f>IFERROR(VLOOKUP(B506,Start!A$111:B$273,2,FALSE),"")</f>
        <v/>
      </c>
      <c r="H506" s="2" t="s">
        <v>86</v>
      </c>
      <c r="I506" s="2" t="s">
        <v>125</v>
      </c>
      <c r="J506" s="2" t="s">
        <v>126</v>
      </c>
      <c r="K506" s="2" t="s">
        <v>127</v>
      </c>
      <c r="L506" s="3" t="s">
        <v>87</v>
      </c>
      <c r="M506" s="6"/>
      <c r="N506" s="2" t="s">
        <v>88</v>
      </c>
      <c r="O506" s="2" t="s">
        <v>89</v>
      </c>
      <c r="P506" s="2"/>
      <c r="Q506" s="2" t="s">
        <v>86</v>
      </c>
      <c r="R506" s="2" t="s">
        <v>125</v>
      </c>
      <c r="S506" s="2" t="s">
        <v>126</v>
      </c>
      <c r="T506" s="2" t="s">
        <v>127</v>
      </c>
      <c r="U506" s="3" t="s">
        <v>87</v>
      </c>
      <c r="V506" s="6"/>
      <c r="W506" s="2" t="s">
        <v>88</v>
      </c>
      <c r="X506" s="2" t="s">
        <v>89</v>
      </c>
      <c r="Z506" s="70" t="str">
        <f>IF(SUMIFS(TrackingTime!H:H,TrackingTime!F:F,Timer!B506,TrackingTime!C:C,"Hovedkontoret")&gt;0,SUMIFS(TrackingTime!H:H,TrackingTime!F:F,Timer!B506,TrackingTime!C:C,"Hovedkontoret"),"")</f>
        <v/>
      </c>
      <c r="AA506" s="71" t="str">
        <f t="shared" si="529"/>
        <v/>
      </c>
      <c r="AB506" t="str">
        <f>IF(SUMIFS(TrackingTime!H:H,TrackingTime!F:F,Timer!B506,TrackingTime!C:C,Start!$F$3)&gt;0,SUMIFS(TrackingTime!H:H,TrackingTime!F:F,Timer!B506,TrackingTime!C:C,Start!$F$3),"")</f>
        <v/>
      </c>
      <c r="AC506" s="71" t="str">
        <f t="shared" si="532"/>
        <v/>
      </c>
    </row>
    <row r="507" spans="1:29" x14ac:dyDescent="0.25">
      <c r="A507" s="15">
        <f>WEEKNUM(B507,21)</f>
        <v>42</v>
      </c>
      <c r="B507" s="63">
        <f>B501+(DAY(1))</f>
        <v>46307</v>
      </c>
      <c r="C507" t="str">
        <f>IFERROR(IF(OR(L507="Fri",L507="Ferie",L507="Syk",L507="Omsorg",B507&lt;Start!$B$7),0,IF(IFERROR(MATCH(B507,Start!A$253:A$273,0),0)&gt;0,VLOOKUP(B507,Start!A$253:F$273,3,FALSE)/100*Start!$B$4,VLOOKUP(WEEKDAY(B507,2),Start!A$240:F$246,4,FALSE))),"")</f>
        <v/>
      </c>
      <c r="D507" t="str">
        <f>IFERROR(IF(OR(U507="Fri",U507="Ferie",U507="Syk",U507="Omsorg",B507&lt;Start!$F$7),0,IF(IFERROR(MATCH(B507,Start!A$253:A$273,0),0)&gt;0,VLOOKUP(B507,Start!A$253:F$273,3,FALSE)/100*Start!$F$4,VLOOKUP(WEEKDAY(B507,2),Start!A$240:F$246,6,FALSE))),"")</f>
        <v/>
      </c>
      <c r="E507">
        <f t="shared" ca="1" si="558"/>
        <v>0</v>
      </c>
      <c r="F507">
        <f>IFERROR(IF(YEAR(B507)=Start!$B$1,MONTH(B507),""),"")</f>
        <v>10</v>
      </c>
      <c r="G507" s="64" t="str">
        <f>IFERROR(VLOOKUP(B507,Start!A$111:B$273,2,FALSE),"")</f>
        <v/>
      </c>
      <c r="H507" s="21"/>
      <c r="I507" s="78">
        <v>0.33333333333333331</v>
      </c>
      <c r="J507" s="78">
        <v>0.33333333333333331</v>
      </c>
      <c r="K507" s="1" t="str">
        <f>IF(Start!$B$6="Ja","",IF(((J507-I507)*24)&gt;=5.5,"X",""))</f>
        <v/>
      </c>
      <c r="L507" s="1" t="str">
        <f>IF(_xlfn.IFNA(MATCH($A507,Start!$H$3:$H$11,0),0)&gt;0,"Ferie",IFERROR(IF(VLOOKUP(B507,Start!A$165:B$234,2,FALSE)&gt;0,"Fri",0),IF(AND((J507-I507)=0,Z507=""),"",MAX((IF(K507="X",(J507-I507)*24-0.5,(J507-I507)*24)),Z507))))</f>
        <v/>
      </c>
      <c r="M507" s="58"/>
      <c r="N507" s="21" t="str">
        <f t="shared" ref="N507:N513" si="580">IF(H507=0,"",H507)</f>
        <v/>
      </c>
      <c r="O507" s="21" t="str">
        <f t="shared" ref="O507:O513" si="581">IF(L507=0,"",L507)</f>
        <v/>
      </c>
      <c r="P507" s="2"/>
      <c r="Q507" s="21"/>
      <c r="R507" s="78">
        <v>0.33333333333333331</v>
      </c>
      <c r="S507" s="78">
        <v>0.33333333333333331</v>
      </c>
      <c r="T507" s="1" t="str">
        <f>IF(Start!$B$6="Ja","",IF(((S507-R507)*24)&gt;=5.5,"X",""))</f>
        <v/>
      </c>
      <c r="U507" s="1" t="str">
        <f>IF(_xlfn.IFNA(MATCH($A$15,Start!$H$3:$H$11,0),0)&gt;0,"Ferie",(IF(L507="fri","Fri",(IF(L507="syk","Syk",IF(L507="Ferie","Ferie",IF(AND((S507-R507)=0,AB507=""),"",MAX((IF(T507="X",(S507-R507)*24-0.5,(S507-R507)*24)),AB507))))))))</f>
        <v/>
      </c>
      <c r="V507" s="58"/>
      <c r="W507" s="21" t="str">
        <f t="shared" ref="W507:W513" si="582">IF(Q507=0,"",Q507)</f>
        <v/>
      </c>
      <c r="X507" s="21" t="str">
        <f t="shared" ref="X507:X513" si="583">IF(U507=0,"",U507)</f>
        <v/>
      </c>
      <c r="Z507" s="70" t="str">
        <f>IF(SUMIFS(TrackingTime!H:H,TrackingTime!F:F,Timer!B507,TrackingTime!C:C,"Hovedkontoret")&gt;0,SUMIFS(TrackingTime!H:H,TrackingTime!F:F,Timer!B507,TrackingTime!C:C,"Hovedkontoret"),"")</f>
        <v/>
      </c>
      <c r="AA507" s="71" t="str">
        <f t="shared" si="529"/>
        <v/>
      </c>
      <c r="AB507" t="str">
        <f>IF(SUMIFS(TrackingTime!H:H,TrackingTime!F:F,Timer!B507,TrackingTime!C:C,Start!$F$3)&gt;0,SUMIFS(TrackingTime!H:H,TrackingTime!F:F,Timer!B507,TrackingTime!C:C,Start!$F$3),"")</f>
        <v/>
      </c>
      <c r="AC507" s="71" t="str">
        <f t="shared" si="532"/>
        <v/>
      </c>
    </row>
    <row r="508" spans="1:29" x14ac:dyDescent="0.25">
      <c r="A508" s="15"/>
      <c r="B508" s="63">
        <f t="shared" ref="B508:B513" si="584">B507+DAY(1)</f>
        <v>46308</v>
      </c>
      <c r="C508" t="str">
        <f>IFERROR(IF(OR(L508="Fri",L508="Ferie",L508="Syk",L508="Omsorg",B508&lt;Start!$B$7),0,IF(IFERROR(MATCH(B508,Start!A$253:A$273,0),0)&gt;0,VLOOKUP(B508,Start!A$253:F$273,3,FALSE)/100*Start!$B$4,VLOOKUP(WEEKDAY(B508,2),Start!A$240:F$246,4,FALSE))),"")</f>
        <v/>
      </c>
      <c r="D508" t="str">
        <f>IFERROR(IF(OR(U508="Fri",U508="Ferie",U508="Syk",U508="Omsorg",B508&lt;Start!$F$7),0,IF(IFERROR(MATCH(B508,Start!A$253:A$273,0),0)&gt;0,VLOOKUP(B508,Start!A$253:F$273,3,FALSE)/100*Start!$F$4,VLOOKUP(WEEKDAY(B508,2),Start!A$240:F$246,6,FALSE))),"")</f>
        <v/>
      </c>
      <c r="E508">
        <f t="shared" ca="1" si="558"/>
        <v>0</v>
      </c>
      <c r="F508">
        <f>IFERROR(IF(YEAR(B508)=Start!$B$1,MONTH(B508),""),"")</f>
        <v>10</v>
      </c>
      <c r="G508" s="64" t="str">
        <f>IFERROR(VLOOKUP(B508,Start!A$111:B$273,2,FALSE),"")</f>
        <v/>
      </c>
      <c r="H508" s="21"/>
      <c r="I508" s="78">
        <v>0.33333333333333331</v>
      </c>
      <c r="J508" s="78">
        <v>0.33333333333333331</v>
      </c>
      <c r="K508" s="1" t="str">
        <f>IF(Start!$B$6="Ja","",IF(((J508-I508)*24)&gt;=5.5,"X",""))</f>
        <v/>
      </c>
      <c r="L508" s="1" t="str">
        <f>IF(_xlfn.IFNA(MATCH($A507,Start!$H$3:$H$11,0),0)&gt;0,"Ferie",IFERROR(IF(VLOOKUP($B508,Start!$A$165:$B$234,2,FALSE)&gt;0,"Fri",0),IF(AND((J508-I508)=0,Z508=""),"",MAX((IF(K508="X",(J508-I508)*24-0.5,(J508-I508)*24)),Z508))))</f>
        <v/>
      </c>
      <c r="M508" s="58"/>
      <c r="N508" s="21" t="str">
        <f t="shared" si="580"/>
        <v/>
      </c>
      <c r="O508" s="21" t="str">
        <f t="shared" si="581"/>
        <v/>
      </c>
      <c r="P508" s="2"/>
      <c r="Q508" s="21"/>
      <c r="R508" s="78">
        <v>0.33333333333333331</v>
      </c>
      <c r="S508" s="78">
        <v>0.33333333333333331</v>
      </c>
      <c r="T508" s="1" t="str">
        <f>IF(Start!$B$6="Ja","",IF(((S508-R508)*24)&gt;=5.5,"X",""))</f>
        <v/>
      </c>
      <c r="U508" s="1" t="str">
        <f>IF(_xlfn.IFNA(MATCH($A$15,Start!$H$3:$H$11,0),0)&gt;0,"Ferie",(IF(L508="fri","Fri",(IF(L508="syk","Syk",IF(L508="Ferie","Ferie",IF(AND((S508-R508)=0,AB508=""),"",MAX((IF(T508="X",(S508-R508)*24-0.5,(S508-R508)*24)),AB508))))))))</f>
        <v/>
      </c>
      <c r="V508" s="58"/>
      <c r="W508" s="21" t="str">
        <f t="shared" si="582"/>
        <v/>
      </c>
      <c r="X508" s="21" t="str">
        <f t="shared" si="583"/>
        <v/>
      </c>
      <c r="Z508" s="70" t="str">
        <f>IF(SUMIFS(TrackingTime!H:H,TrackingTime!F:F,Timer!B508,TrackingTime!C:C,"Hovedkontoret")&gt;0,SUMIFS(TrackingTime!H:H,TrackingTime!F:F,Timer!B508,TrackingTime!C:C,"Hovedkontoret"),"")</f>
        <v/>
      </c>
      <c r="AA508" s="71" t="str">
        <f t="shared" si="529"/>
        <v/>
      </c>
      <c r="AB508" t="str">
        <f>IF(SUMIFS(TrackingTime!H:H,TrackingTime!F:F,Timer!B508,TrackingTime!C:C,Start!$F$3)&gt;0,SUMIFS(TrackingTime!H:H,TrackingTime!F:F,Timer!B508,TrackingTime!C:C,Start!$F$3),"")</f>
        <v/>
      </c>
      <c r="AC508" s="71" t="str">
        <f t="shared" si="532"/>
        <v/>
      </c>
    </row>
    <row r="509" spans="1:29" x14ac:dyDescent="0.25">
      <c r="A509" s="15"/>
      <c r="B509" s="63">
        <f t="shared" si="584"/>
        <v>46309</v>
      </c>
      <c r="C509" t="str">
        <f>IFERROR(IF(OR(L509="Fri",L509="Ferie",L509="Syk",L509="Omsorg",B509&lt;Start!$B$7),0,IF(IFERROR(MATCH(B509,Start!A$253:A$273,0),0)&gt;0,VLOOKUP(B509,Start!A$253:F$273,3,FALSE)/100*Start!$B$4,VLOOKUP(WEEKDAY(B509,2),Start!A$240:F$246,4,FALSE))),"")</f>
        <v/>
      </c>
      <c r="D509" t="str">
        <f>IFERROR(IF(OR(U509="Fri",U509="Ferie",U509="Syk",U509="Omsorg",B509&lt;Start!$F$7),0,IF(IFERROR(MATCH(B509,Start!A$253:A$273,0),0)&gt;0,VLOOKUP(B509,Start!A$253:F$273,3,FALSE)/100*Start!$F$4,VLOOKUP(WEEKDAY(B509,2),Start!A$240:F$246,6,FALSE))),"")</f>
        <v/>
      </c>
      <c r="E509">
        <f t="shared" ca="1" si="558"/>
        <v>0</v>
      </c>
      <c r="F509">
        <f>IFERROR(IF(YEAR(B509)=Start!$B$1,MONTH(B509),""),"")</f>
        <v>10</v>
      </c>
      <c r="G509" s="64" t="str">
        <f>IFERROR(VLOOKUP(B509,Start!A$111:B$273,2,FALSE),"")</f>
        <v/>
      </c>
      <c r="H509" s="21"/>
      <c r="I509" s="78">
        <v>0.33333333333333331</v>
      </c>
      <c r="J509" s="78">
        <v>0.33333333333333331</v>
      </c>
      <c r="K509" s="1" t="str">
        <f>IF(Start!$B$6="Ja","",IF(((J509-I509)*24)&gt;=5.5,"X",""))</f>
        <v/>
      </c>
      <c r="L509" s="1" t="str">
        <f>IF(_xlfn.IFNA(MATCH($A507,Start!$H$3:$H$11,0),0)&gt;0,"Ferie",IFERROR(IF(VLOOKUP(B509,Start!A$165:B$234,2,FALSE)&gt;0,"Fri",0),IF(AND((J509-I509)=0,Z509=""),"",MAX((IF(K509="X",(J509-I509)*24-0.5,(J509-I509)*24)),Z509))))</f>
        <v/>
      </c>
      <c r="M509" s="58"/>
      <c r="N509" s="21" t="str">
        <f t="shared" si="580"/>
        <v/>
      </c>
      <c r="O509" s="21" t="str">
        <f t="shared" si="581"/>
        <v/>
      </c>
      <c r="P509" s="2"/>
      <c r="Q509" s="21"/>
      <c r="R509" s="78">
        <v>0.33333333333333331</v>
      </c>
      <c r="S509" s="78">
        <v>0.33333333333333331</v>
      </c>
      <c r="T509" s="1" t="str">
        <f>IF(Start!$B$6="Ja","",IF(((S509-R509)*24)&gt;=5.5,"X",""))</f>
        <v/>
      </c>
      <c r="U509" s="1" t="str">
        <f>IF(_xlfn.IFNA(MATCH($A$15,Start!$H$3:$H$11,0),0)&gt;0,"Ferie",(IF(L509="fri","Fri",(IF(L509="syk","Syk",IF(L509="Ferie","Ferie",IF(AND((S509-R509)=0,AB509=""),"",MAX((IF(T509="X",(S509-R509)*24-0.5,(S509-R509)*24)),AB509))))))))</f>
        <v/>
      </c>
      <c r="V509" s="58"/>
      <c r="W509" s="21" t="str">
        <f t="shared" si="582"/>
        <v/>
      </c>
      <c r="X509" s="21" t="str">
        <f t="shared" si="583"/>
        <v/>
      </c>
      <c r="Z509" s="70" t="str">
        <f>IF(SUMIFS(TrackingTime!H:H,TrackingTime!F:F,Timer!B509,TrackingTime!C:C,"Hovedkontoret")&gt;0,SUMIFS(TrackingTime!H:H,TrackingTime!F:F,Timer!B509,TrackingTime!C:C,"Hovedkontoret"),"")</f>
        <v/>
      </c>
      <c r="AA509" s="71" t="str">
        <f t="shared" si="529"/>
        <v/>
      </c>
      <c r="AB509" t="str">
        <f>IF(SUMIFS(TrackingTime!H:H,TrackingTime!F:F,Timer!B509,TrackingTime!C:C,Start!$F$3)&gt;0,SUMIFS(TrackingTime!H:H,TrackingTime!F:F,Timer!B509,TrackingTime!C:C,Start!$F$3),"")</f>
        <v/>
      </c>
      <c r="AC509" s="71" t="str">
        <f t="shared" si="532"/>
        <v/>
      </c>
    </row>
    <row r="510" spans="1:29" x14ac:dyDescent="0.25">
      <c r="A510" s="15"/>
      <c r="B510" s="63">
        <f t="shared" si="584"/>
        <v>46310</v>
      </c>
      <c r="C510" t="str">
        <f>IFERROR(IF(OR(L510="Fri",L510="Ferie",L510="Syk",L510="Omsorg",B510&lt;Start!$B$7),0,IF(IFERROR(MATCH(B510,Start!A$253:A$273,0),0)&gt;0,VLOOKUP(B510,Start!A$253:F$273,3,FALSE)/100*Start!$B$4,VLOOKUP(WEEKDAY(B510,2),Start!A$240:F$246,4,FALSE))),"")</f>
        <v/>
      </c>
      <c r="D510" t="str">
        <f>IFERROR(IF(OR(U510="Fri",U510="Ferie",U510="Syk",U510="Omsorg",B510&lt;Start!$F$7),0,IF(IFERROR(MATCH(B510,Start!A$253:A$273,0),0)&gt;0,VLOOKUP(B510,Start!A$253:F$273,3,FALSE)/100*Start!$F$4,VLOOKUP(WEEKDAY(B510,2),Start!A$240:F$246,6,FALSE))),"")</f>
        <v/>
      </c>
      <c r="E510">
        <f t="shared" ca="1" si="558"/>
        <v>0</v>
      </c>
      <c r="F510">
        <f>IFERROR(IF(YEAR(B510)=Start!$B$1,MONTH(B510),""),"")</f>
        <v>10</v>
      </c>
      <c r="G510" s="64" t="str">
        <f>IFERROR(VLOOKUP(B510,Start!A$111:B$273,2,FALSE),"")</f>
        <v/>
      </c>
      <c r="H510" s="21"/>
      <c r="I510" s="78">
        <v>0.33333333333333331</v>
      </c>
      <c r="J510" s="78">
        <v>0.33333333333333331</v>
      </c>
      <c r="K510" s="1" t="str">
        <f>IF(Start!$B$6="Ja","",IF(((J510-I510)*24)&gt;=5.5,"X",""))</f>
        <v/>
      </c>
      <c r="L510" s="1" t="str">
        <f>IF(_xlfn.IFNA(MATCH($A507,Start!$H$3:$H$11,0),0)&gt;0,"Ferie",IFERROR(IF(VLOOKUP(B510,Start!A$165:B$234,2,FALSE)&gt;0,"Fri",0),IF(AND((J510-I510)=0,Z510=""),"",MAX((IF(K510="X",(J510-I510)*24-0.5,(J510-I510)*24)),Z510))))</f>
        <v/>
      </c>
      <c r="M510" s="58"/>
      <c r="N510" s="21" t="str">
        <f t="shared" si="580"/>
        <v/>
      </c>
      <c r="O510" s="21" t="str">
        <f t="shared" si="581"/>
        <v/>
      </c>
      <c r="P510" s="2"/>
      <c r="Q510" s="21"/>
      <c r="R510" s="78">
        <v>0.33333333333333331</v>
      </c>
      <c r="S510" s="78">
        <v>0.33333333333333331</v>
      </c>
      <c r="T510" s="1" t="str">
        <f>IF(Start!$B$6="Ja","",IF(((S510-R510)*24)&gt;=5.5,"X",""))</f>
        <v/>
      </c>
      <c r="U510" s="1" t="str">
        <f>IF(_xlfn.IFNA(MATCH($A$15,Start!$H$3:$H$11,0),0)&gt;0,"Ferie",(IF(L510="fri","Fri",(IF(L510="syk","Syk",IF(L510="Ferie","Ferie",IF(AND((S510-R510)=0,AB510=""),"",MAX((IF(T510="X",(S510-R510)*24-0.5,(S510-R510)*24)),AB510))))))))</f>
        <v/>
      </c>
      <c r="V510" s="58"/>
      <c r="W510" s="21" t="str">
        <f t="shared" si="582"/>
        <v/>
      </c>
      <c r="X510" s="21" t="str">
        <f t="shared" si="583"/>
        <v/>
      </c>
      <c r="Z510" s="70" t="str">
        <f>IF(SUMIFS(TrackingTime!H:H,TrackingTime!F:F,Timer!B510,TrackingTime!C:C,"Hovedkontoret")&gt;0,SUMIFS(TrackingTime!H:H,TrackingTime!F:F,Timer!B510,TrackingTime!C:C,"Hovedkontoret"),"")</f>
        <v/>
      </c>
      <c r="AA510" s="71" t="str">
        <f t="shared" si="529"/>
        <v/>
      </c>
      <c r="AB510" t="str">
        <f>IF(SUMIFS(TrackingTime!H:H,TrackingTime!F:F,Timer!B510,TrackingTime!C:C,Start!$F$3)&gt;0,SUMIFS(TrackingTime!H:H,TrackingTime!F:F,Timer!B510,TrackingTime!C:C,Start!$F$3),"")</f>
        <v/>
      </c>
      <c r="AC510" s="71" t="str">
        <f t="shared" si="532"/>
        <v/>
      </c>
    </row>
    <row r="511" spans="1:29" x14ac:dyDescent="0.25">
      <c r="A511" s="15"/>
      <c r="B511" s="63">
        <f t="shared" si="584"/>
        <v>46311</v>
      </c>
      <c r="C511" t="str">
        <f>IFERROR(IF(OR(L511="Fri",L511="Ferie",L511="Syk",L511="Omsorg",B511&lt;Start!$B$7),0,IF(IFERROR(MATCH(B511,Start!A$253:A$273,0),0)&gt;0,VLOOKUP(B511,Start!A$253:F$273,3,FALSE)/100*Start!$B$4,VLOOKUP(WEEKDAY(B511,2),Start!A$240:F$246,4,FALSE))),"")</f>
        <v/>
      </c>
      <c r="D511" t="str">
        <f>IFERROR(IF(OR(U511="Fri",U511="Ferie",U511="Syk",U511="Omsorg",B511&lt;Start!$F$7),0,IF(IFERROR(MATCH(B511,Start!A$253:A$273,0),0)&gt;0,VLOOKUP(B511,Start!A$253:F$273,3,FALSE)/100*Start!$F$4,VLOOKUP(WEEKDAY(B511,2),Start!A$240:F$246,6,FALSE))),"")</f>
        <v/>
      </c>
      <c r="E511">
        <f t="shared" ca="1" si="558"/>
        <v>0</v>
      </c>
      <c r="F511">
        <f>IFERROR(IF(YEAR(B511)=Start!$B$1,MONTH(B511),""),"")</f>
        <v>10</v>
      </c>
      <c r="G511" s="64" t="str">
        <f>IFERROR(VLOOKUP(B511,Start!A$111:B$273,2,FALSE),"")</f>
        <v/>
      </c>
      <c r="H511" s="21"/>
      <c r="I511" s="78">
        <v>0.33333333333333331</v>
      </c>
      <c r="J511" s="78">
        <v>0.33333333333333331</v>
      </c>
      <c r="K511" s="1" t="str">
        <f>IF(Start!$B$6="Ja","",IF(((J511-I511)*24)&gt;=5.5,"X",""))</f>
        <v/>
      </c>
      <c r="L511" s="1" t="str">
        <f>IF(_xlfn.IFNA(MATCH($A507,Start!$H$3:$H$11,0),0)&gt;0,"Ferie",IFERROR(IF(VLOOKUP(B511,Start!A$165:B$234,2,FALSE)&gt;0,"Fri",0),IF(AND((J511-I511)=0,Z511=""),"",MAX((IF(K511="X",(J511-I511)*24-0.5,(J511-I511)*24)),Z511))))</f>
        <v/>
      </c>
      <c r="M511" s="58"/>
      <c r="N511" s="21" t="str">
        <f t="shared" si="580"/>
        <v/>
      </c>
      <c r="O511" s="21" t="str">
        <f t="shared" si="581"/>
        <v/>
      </c>
      <c r="P511" s="2"/>
      <c r="Q511" s="21"/>
      <c r="R511" s="78">
        <v>0.33333333333333331</v>
      </c>
      <c r="S511" s="78">
        <v>0.33333333333333331</v>
      </c>
      <c r="T511" s="1" t="str">
        <f>IF(Start!$B$6="Ja","",IF(((S511-R511)*24)&gt;=5.5,"X",""))</f>
        <v/>
      </c>
      <c r="U511" s="1" t="str">
        <f>IF(_xlfn.IFNA(MATCH($A$15,Start!$H$3:$H$11,0),0)&gt;0,"Ferie",(IF(L511="fri","Fri",(IF(L511="syk","Syk",IF(L511="Ferie","Ferie",IF(AND((S511-R511)=0,AB511=""),"",MAX((IF(T511="X",(S511-R511)*24-0.5,(S511-R511)*24)),AB511))))))))</f>
        <v/>
      </c>
      <c r="V511" s="58"/>
      <c r="W511" s="21" t="str">
        <f t="shared" si="582"/>
        <v/>
      </c>
      <c r="X511" s="21" t="str">
        <f t="shared" si="583"/>
        <v/>
      </c>
      <c r="Z511" s="70" t="str">
        <f>IF(SUMIFS(TrackingTime!H:H,TrackingTime!F:F,Timer!B511,TrackingTime!C:C,"Hovedkontoret")&gt;0,SUMIFS(TrackingTime!H:H,TrackingTime!F:F,Timer!B511,TrackingTime!C:C,"Hovedkontoret"),"")</f>
        <v/>
      </c>
      <c r="AA511" s="71" t="str">
        <f t="shared" si="529"/>
        <v/>
      </c>
      <c r="AB511" t="str">
        <f>IF(SUMIFS(TrackingTime!H:H,TrackingTime!F:F,Timer!B511,TrackingTime!C:C,Start!$F$3)&gt;0,SUMIFS(TrackingTime!H:H,TrackingTime!F:F,Timer!B511,TrackingTime!C:C,Start!$F$3),"")</f>
        <v/>
      </c>
      <c r="AC511" s="71" t="str">
        <f t="shared" si="532"/>
        <v/>
      </c>
    </row>
    <row r="512" spans="1:29" x14ac:dyDescent="0.25">
      <c r="A512" s="15"/>
      <c r="B512" s="63">
        <f t="shared" si="584"/>
        <v>46312</v>
      </c>
      <c r="C512">
        <f>IFERROR(IF(OR(L512="Fri",L512="Ferie",L512="Syk",L512="Omsorg",B512&lt;Start!$B$7),0,IF(IFERROR(MATCH(B512,Start!A$253:A$273,0),0)&gt;0,VLOOKUP(B512,Start!A$253:F$273,3,FALSE)/100*Start!$B$4,VLOOKUP(WEEKDAY(B512,2),Start!A$240:F$246,4,FALSE))),"")</f>
        <v>0</v>
      </c>
      <c r="D512">
        <f>IFERROR(IF(OR(U512="Fri",U512="Ferie",U512="Syk",U512="Omsorg",B512&lt;Start!$F$7),0,IF(IFERROR(MATCH(B512,Start!A$253:A$273,0),0)&gt;0,VLOOKUP(B512,Start!A$253:F$273,3,FALSE)/100*Start!$F$4,VLOOKUP(WEEKDAY(B512,2),Start!A$240:F$246,6,FALSE))),"")</f>
        <v>0</v>
      </c>
      <c r="E512">
        <f t="shared" ca="1" si="558"/>
        <v>0</v>
      </c>
      <c r="F512">
        <f>IFERROR(IF(YEAR(B512)=Start!$B$1,MONTH(B512),""),"")</f>
        <v>10</v>
      </c>
      <c r="G512" s="64" t="str">
        <f>IFERROR(VLOOKUP(B512,Start!A$111:B$273,2,FALSE),"")</f>
        <v/>
      </c>
      <c r="H512" s="21"/>
      <c r="I512" s="78">
        <v>0.41666666666666669</v>
      </c>
      <c r="J512" s="78">
        <v>0.41666666666666669</v>
      </c>
      <c r="K512" s="1" t="str">
        <f>IF(Start!$B$6="Ja","",IF(((J512-I512)*24)&gt;=5.5,"X",""))</f>
        <v/>
      </c>
      <c r="L512" s="1" t="str">
        <f t="shared" ref="L512:L513" si="585">IF(AND((J512-I512)=0,Z512=""),"",MAX((IF(K512="X",(J512-I512)*24-0.5,(J512-I512)*24)),Z512))</f>
        <v/>
      </c>
      <c r="M512" s="58"/>
      <c r="N512" s="21" t="str">
        <f t="shared" si="580"/>
        <v/>
      </c>
      <c r="O512" s="21" t="str">
        <f t="shared" si="581"/>
        <v/>
      </c>
      <c r="P512" s="2"/>
      <c r="Q512" s="21"/>
      <c r="R512" s="78">
        <v>0.41666666666666669</v>
      </c>
      <c r="S512" s="78">
        <v>0.41666666666666669</v>
      </c>
      <c r="T512" s="1" t="str">
        <f>IF(Start!$B$6="Ja","",IF(((S512-R512)*24)&gt;=5.5,"X",""))</f>
        <v/>
      </c>
      <c r="U512" s="1" t="str">
        <f t="shared" ref="U512:U513" si="586">IF(AND((S512-R512)=0,AB512=""),"",MAX((IF(T512="X",(S512-R512)*24-0.5,(S512-R512)*24)),AB512))</f>
        <v/>
      </c>
      <c r="V512" s="58"/>
      <c r="W512" s="21" t="str">
        <f t="shared" si="582"/>
        <v/>
      </c>
      <c r="X512" s="21" t="str">
        <f t="shared" si="583"/>
        <v/>
      </c>
      <c r="Z512" s="70" t="str">
        <f>IF(SUMIFS(TrackingTime!H:H,TrackingTime!F:F,Timer!B512,TrackingTime!C:C,"Hovedkontoret")&gt;0,SUMIFS(TrackingTime!H:H,TrackingTime!F:F,Timer!B512,TrackingTime!C:C,"Hovedkontoret"),"")</f>
        <v/>
      </c>
      <c r="AA512" s="71" t="str">
        <f t="shared" si="529"/>
        <v/>
      </c>
      <c r="AB512" t="str">
        <f>IF(SUMIFS(TrackingTime!H:H,TrackingTime!F:F,Timer!B512,TrackingTime!C:C,Start!$F$3)&gt;0,SUMIFS(TrackingTime!H:H,TrackingTime!F:F,Timer!B512,TrackingTime!C:C,Start!$F$3),"")</f>
        <v/>
      </c>
      <c r="AC512" s="71" t="str">
        <f t="shared" si="532"/>
        <v/>
      </c>
    </row>
    <row r="513" spans="1:29" x14ac:dyDescent="0.25">
      <c r="A513" s="15"/>
      <c r="B513" s="63">
        <f t="shared" si="584"/>
        <v>46313</v>
      </c>
      <c r="C513">
        <f>IFERROR(IF(OR(L513="Fri",L513="Ferie",L513="Syk",L513="Omsorg",B513&lt;Start!$B$7),0,IF(IFERROR(MATCH(B513,Start!A$253:A$273,0),0)&gt;0,VLOOKUP(B513,Start!A$253:F$273,3,FALSE)/100*Start!$B$4,VLOOKUP(WEEKDAY(B513,2),Start!A$240:F$246,4,FALSE))),"")</f>
        <v>0</v>
      </c>
      <c r="D513">
        <f>IFERROR(IF(OR(U513="Fri",U513="Ferie",U513="Syk",U513="Omsorg",B513&lt;Start!$F$7),0,IF(IFERROR(MATCH(B513,Start!A$253:A$273,0),0)&gt;0,VLOOKUP(B513,Start!A$253:F$273,3,FALSE)/100*Start!$F$4,VLOOKUP(WEEKDAY(B513,2),Start!A$240:F$246,6,FALSE))),"")</f>
        <v>0</v>
      </c>
      <c r="E513">
        <f t="shared" ca="1" si="558"/>
        <v>0</v>
      </c>
      <c r="F513">
        <f>IFERROR(IF(YEAR(B513)=Start!$B$1,MONTH(B513),""),"")</f>
        <v>10</v>
      </c>
      <c r="G513" s="64" t="str">
        <f>IFERROR(VLOOKUP(B513,Start!A$111:B$273,2,FALSE),"")</f>
        <v/>
      </c>
      <c r="H513" s="25"/>
      <c r="I513" s="78">
        <v>0.41666666666666669</v>
      </c>
      <c r="J513" s="78">
        <v>0.41666666666666669</v>
      </c>
      <c r="K513" s="1" t="str">
        <f>IF(Start!$B$6="Ja","",IF(((J513-I513)*24)&gt;=5.5,"X",""))</f>
        <v/>
      </c>
      <c r="L513" s="1" t="str">
        <f t="shared" si="585"/>
        <v/>
      </c>
      <c r="M513" s="58"/>
      <c r="N513" s="21" t="str">
        <f t="shared" si="580"/>
        <v/>
      </c>
      <c r="O513" s="21" t="str">
        <f t="shared" si="581"/>
        <v/>
      </c>
      <c r="Q513" s="25"/>
      <c r="R513" s="78">
        <v>0.41666666666666669</v>
      </c>
      <c r="S513" s="78">
        <v>0.41666666666666669</v>
      </c>
      <c r="T513" s="1" t="str">
        <f>IF(Start!$B$6="Ja","",IF(((S513-R513)*24)&gt;=5.5,"X",""))</f>
        <v/>
      </c>
      <c r="U513" s="1" t="str">
        <f t="shared" si="586"/>
        <v/>
      </c>
      <c r="V513" s="58"/>
      <c r="W513" s="21" t="str">
        <f t="shared" si="582"/>
        <v/>
      </c>
      <c r="X513" s="21" t="str">
        <f t="shared" si="583"/>
        <v/>
      </c>
      <c r="Z513" s="70" t="str">
        <f>IF(SUMIFS(TrackingTime!H:H,TrackingTime!F:F,Timer!B513,TrackingTime!C:C,"Hovedkontoret")&gt;0,SUMIFS(TrackingTime!H:H,TrackingTime!F:F,Timer!B513,TrackingTime!C:C,"Hovedkontoret"),"")</f>
        <v/>
      </c>
      <c r="AA513" s="71" t="str">
        <f t="shared" si="529"/>
        <v/>
      </c>
      <c r="AB513" t="str">
        <f>IF(SUMIFS(TrackingTime!H:H,TrackingTime!F:F,Timer!B513,TrackingTime!C:C,Start!$F$3)&gt;0,SUMIFS(TrackingTime!H:H,TrackingTime!F:F,Timer!B513,TrackingTime!C:C,Start!$F$3),"")</f>
        <v/>
      </c>
      <c r="AC513" s="71" t="str">
        <f t="shared" si="532"/>
        <v/>
      </c>
    </row>
    <row r="514" spans="1:29" x14ac:dyDescent="0.25">
      <c r="A514" s="15"/>
      <c r="B514" s="4" t="s">
        <v>11</v>
      </c>
      <c r="C514" s="24"/>
      <c r="D514" s="24"/>
      <c r="E514" s="24">
        <f t="shared" ca="1" si="558"/>
        <v>0</v>
      </c>
      <c r="F514" s="24" t="str">
        <f>IFERROR(IF(YEAR(B514)=Start!$B$1,MONTH(B514),""),"")</f>
        <v/>
      </c>
      <c r="G514" s="64" t="str">
        <f>IFERROR(VLOOKUP(B514,Start!A$111:B$273,2,FALSE),"")</f>
        <v/>
      </c>
      <c r="H514" s="4"/>
      <c r="I514" s="4"/>
      <c r="J514" s="4"/>
      <c r="K514" s="4"/>
      <c r="L514" s="5">
        <f t="shared" si="515"/>
        <v>0</v>
      </c>
      <c r="N514" s="24"/>
      <c r="O514" s="39">
        <f t="shared" ref="O514" si="587">SUM(O507:O513)</f>
        <v>0</v>
      </c>
      <c r="P514" s="40"/>
      <c r="Q514" s="41"/>
      <c r="R514" s="4"/>
      <c r="S514" s="4"/>
      <c r="T514" s="4"/>
      <c r="U514" s="5">
        <f t="shared" ref="U514" si="588">SUM($U507:$U513)</f>
        <v>0</v>
      </c>
      <c r="V514" s="58"/>
      <c r="W514" s="39"/>
      <c r="X514" s="39">
        <f t="shared" si="535"/>
        <v>0</v>
      </c>
      <c r="Z514" s="70" t="str">
        <f>IF(SUMIFS(TrackingTime!H:H,TrackingTime!F:F,Timer!B514,TrackingTime!C:C,"Hovedkontoret")&gt;0,SUMIFS(TrackingTime!H:H,TrackingTime!F:F,Timer!B514,TrackingTime!C:C,"Hovedkontoret"),"")</f>
        <v/>
      </c>
      <c r="AA514" s="71" t="str">
        <f t="shared" si="529"/>
        <v/>
      </c>
      <c r="AB514" t="str">
        <f>IF(SUMIFS(TrackingTime!H:H,TrackingTime!F:F,Timer!B514,TrackingTime!C:C,Start!$F$3)&gt;0,SUMIFS(TrackingTime!H:H,TrackingTime!F:F,Timer!B514,TrackingTime!C:C,Start!$F$3),"")</f>
        <v/>
      </c>
      <c r="AC514" s="71" t="str">
        <f t="shared" si="532"/>
        <v/>
      </c>
    </row>
    <row r="515" spans="1:29" x14ac:dyDescent="0.25">
      <c r="A515" s="15"/>
      <c r="B515" t="s">
        <v>90</v>
      </c>
      <c r="E515">
        <f t="shared" ca="1" si="558"/>
        <v>0</v>
      </c>
      <c r="F515" t="str">
        <f>IFERROR(IF(YEAR(B515)=Start!$B$1,MONTH(B515),""),"")</f>
        <v/>
      </c>
      <c r="G515" s="64" t="str">
        <f>IFERROR(VLOOKUP(B515,Start!A$111:B$273,2,FALSE),"")</f>
        <v/>
      </c>
      <c r="L515" s="1">
        <f t="shared" si="518"/>
        <v>0</v>
      </c>
      <c r="M515" s="1"/>
      <c r="N515" s="1"/>
      <c r="O515" s="21">
        <f t="shared" ref="O515" si="589">L515</f>
        <v>0</v>
      </c>
      <c r="P515" s="40"/>
      <c r="Q515" s="21"/>
      <c r="U515" s="1">
        <f t="shared" ref="U515" si="590">SUMIFS(D507:D513,F507:F513,"&gt;0")</f>
        <v>0</v>
      </c>
      <c r="V515" s="1"/>
      <c r="W515" s="1"/>
      <c r="X515" s="21">
        <f>U515</f>
        <v>0</v>
      </c>
      <c r="Z515" s="70" t="str">
        <f>IF(SUMIFS(TrackingTime!H:H,TrackingTime!F:F,Timer!B515,TrackingTime!C:C,"Hovedkontoret")&gt;0,SUMIFS(TrackingTime!H:H,TrackingTime!F:F,Timer!B515,TrackingTime!C:C,"Hovedkontoret"),"")</f>
        <v/>
      </c>
      <c r="AA515" s="71" t="str">
        <f t="shared" si="529"/>
        <v/>
      </c>
      <c r="AB515" t="str">
        <f>IF(SUMIFS(TrackingTime!H:H,TrackingTime!F:F,Timer!B515,TrackingTime!C:C,Start!$F$3)&gt;0,SUMIFS(TrackingTime!H:H,TrackingTime!F:F,Timer!B515,TrackingTime!C:C,Start!$F$3),"")</f>
        <v/>
      </c>
      <c r="AC515" s="71" t="str">
        <f t="shared" si="532"/>
        <v/>
      </c>
    </row>
    <row r="516" spans="1:29" x14ac:dyDescent="0.25">
      <c r="A516" s="16">
        <f>B513-B507-1</f>
        <v>5</v>
      </c>
      <c r="B516" t="s">
        <v>117</v>
      </c>
      <c r="E516">
        <f t="shared" ca="1" si="558"/>
        <v>0</v>
      </c>
      <c r="F516" t="str">
        <f>IFERROR(IF(YEAR(B516)=Start!$B$1,MONTH(B516),""),"")</f>
        <v/>
      </c>
      <c r="G516" s="64" t="str">
        <f>IFERROR(VLOOKUP(B516,Start!A$111:B$273,2,FALSE),"")</f>
        <v/>
      </c>
      <c r="L516" s="77">
        <f t="shared" ca="1" si="521"/>
        <v>0</v>
      </c>
      <c r="O516" s="21">
        <f t="shared" ref="O516" si="591">O514-O515</f>
        <v>0</v>
      </c>
      <c r="P516" s="21"/>
      <c r="Q516" s="21"/>
      <c r="U516" s="1">
        <f t="shared" ref="U516" ca="1" si="592">U514-U515*(IF(NETWORKDAYS($B507,TODAY())&lt;0,0,IF(NETWORKDAYS($B507,TODAY())&lt;=$A516,NETWORKDAYS($B507,TODAY()),$A516)))/$A516</f>
        <v>0</v>
      </c>
      <c r="V516" s="58"/>
      <c r="W516" s="21"/>
      <c r="X516" s="21">
        <f>X514-X515</f>
        <v>0</v>
      </c>
      <c r="Z516" s="70" t="str">
        <f>IF(SUMIFS(TrackingTime!H:H,TrackingTime!F:F,Timer!B516,TrackingTime!C:C,"Hovedkontoret")&gt;0,SUMIFS(TrackingTime!H:H,TrackingTime!F:F,Timer!B516,TrackingTime!C:C,"Hovedkontoret"),"")</f>
        <v/>
      </c>
      <c r="AA516" s="71" t="str">
        <f t="shared" si="529"/>
        <v/>
      </c>
      <c r="AB516" t="str">
        <f>IF(SUMIFS(TrackingTime!H:H,TrackingTime!F:F,Timer!B516,TrackingTime!C:C,Start!$F$3)&gt;0,SUMIFS(TrackingTime!H:H,TrackingTime!F:F,Timer!B516,TrackingTime!C:C,Start!$F$3),"")</f>
        <v/>
      </c>
      <c r="AC516" s="71" t="str">
        <f t="shared" si="532"/>
        <v/>
      </c>
    </row>
    <row r="517" spans="1:29" x14ac:dyDescent="0.25">
      <c r="A517" s="15"/>
      <c r="E517">
        <f t="shared" ca="1" si="558"/>
        <v>1</v>
      </c>
      <c r="F517" t="str">
        <f>IFERROR(IF(YEAR(B517)=Start!$B$1,MONTH(B517),""),"")</f>
        <v/>
      </c>
      <c r="G517" s="64" t="str">
        <f>IFERROR(VLOOKUP(B517,Start!A$111:B$273,2,FALSE),"")</f>
        <v/>
      </c>
      <c r="O517" s="2"/>
      <c r="P517" s="2"/>
      <c r="U517" s="1"/>
      <c r="V517" s="7"/>
      <c r="X517" s="2"/>
      <c r="Z517" s="70" t="str">
        <f>IF(SUMIFS(TrackingTime!H:H,TrackingTime!F:F,Timer!B517,TrackingTime!C:C,"Hovedkontoret")&gt;0,SUMIFS(TrackingTime!H:H,TrackingTime!F:F,Timer!B517,TrackingTime!C:C,"Hovedkontoret"),"")</f>
        <v/>
      </c>
      <c r="AA517" s="71" t="str">
        <f t="shared" si="529"/>
        <v/>
      </c>
      <c r="AB517" t="str">
        <f>IF(SUMIFS(TrackingTime!H:H,TrackingTime!F:F,Timer!B517,TrackingTime!C:C,Start!$F$3)&gt;0,SUMIFS(TrackingTime!H:H,TrackingTime!F:F,Timer!B517,TrackingTime!C:C,Start!$F$3),"")</f>
        <v/>
      </c>
      <c r="AC517" s="71" t="str">
        <f t="shared" si="532"/>
        <v/>
      </c>
    </row>
    <row r="518" spans="1:29" x14ac:dyDescent="0.25">
      <c r="A518" s="2" t="s">
        <v>82</v>
      </c>
      <c r="B518" s="14" t="s">
        <v>83</v>
      </c>
      <c r="E518">
        <f t="shared" ca="1" si="558"/>
        <v>0</v>
      </c>
      <c r="F518" t="str">
        <f>IFERROR(IF(YEAR(B518)=Start!$B$1,MONTH(B518),""),"")</f>
        <v/>
      </c>
      <c r="G518" s="64" t="str">
        <f>IFERROR(VLOOKUP(B518,Start!A$111:B$273,2,FALSE),"")</f>
        <v/>
      </c>
      <c r="H518" s="2" t="s">
        <v>86</v>
      </c>
      <c r="I518" s="2" t="s">
        <v>125</v>
      </c>
      <c r="J518" s="2" t="s">
        <v>126</v>
      </c>
      <c r="K518" s="2" t="s">
        <v>127</v>
      </c>
      <c r="L518" s="3" t="s">
        <v>87</v>
      </c>
      <c r="M518" s="6"/>
      <c r="N518" s="2" t="s">
        <v>88</v>
      </c>
      <c r="O518" s="2" t="s">
        <v>89</v>
      </c>
      <c r="P518" s="2"/>
      <c r="Q518" s="2" t="s">
        <v>86</v>
      </c>
      <c r="R518" s="2" t="s">
        <v>125</v>
      </c>
      <c r="S518" s="2" t="s">
        <v>126</v>
      </c>
      <c r="T518" s="2" t="s">
        <v>127</v>
      </c>
      <c r="U518" s="3" t="s">
        <v>87</v>
      </c>
      <c r="V518" s="6"/>
      <c r="W518" s="2" t="s">
        <v>88</v>
      </c>
      <c r="X518" s="2" t="s">
        <v>89</v>
      </c>
      <c r="Z518" s="70" t="str">
        <f>IF(SUMIFS(TrackingTime!H:H,TrackingTime!F:F,Timer!B518,TrackingTime!C:C,"Hovedkontoret")&gt;0,SUMIFS(TrackingTime!H:H,TrackingTime!F:F,Timer!B518,TrackingTime!C:C,"Hovedkontoret"),"")</f>
        <v/>
      </c>
      <c r="AA518" s="71" t="str">
        <f t="shared" si="529"/>
        <v/>
      </c>
      <c r="AB518" t="str">
        <f>IF(SUMIFS(TrackingTime!H:H,TrackingTime!F:F,Timer!B518,TrackingTime!C:C,Start!$F$3)&gt;0,SUMIFS(TrackingTime!H:H,TrackingTime!F:F,Timer!B518,TrackingTime!C:C,Start!$F$3),"")</f>
        <v/>
      </c>
      <c r="AC518" s="71" t="str">
        <f t="shared" si="532"/>
        <v/>
      </c>
    </row>
    <row r="519" spans="1:29" x14ac:dyDescent="0.25">
      <c r="A519" s="15">
        <f>WEEKNUM(B519,21)</f>
        <v>43</v>
      </c>
      <c r="B519" s="63">
        <f>B513+(DAY(1))</f>
        <v>46314</v>
      </c>
      <c r="C519" t="str">
        <f>IFERROR(IF(OR(L519="Fri",L519="Ferie",L519="Syk",L519="Omsorg",B519&lt;Start!$B$7),0,IF(IFERROR(MATCH(B519,Start!A$253:A$273,0),0)&gt;0,VLOOKUP(B519,Start!A$253:F$273,3,FALSE)/100*Start!$B$4,VLOOKUP(WEEKDAY(B519,2),Start!A$240:F$246,4,FALSE))),"")</f>
        <v/>
      </c>
      <c r="D519" t="str">
        <f>IFERROR(IF(OR(U519="Fri",U519="Ferie",U519="Syk",U519="Omsorg",B519&lt;Start!$F$7),0,IF(IFERROR(MATCH(B519,Start!A$253:A$273,0),0)&gt;0,VLOOKUP(B519,Start!A$253:F$273,3,FALSE)/100*Start!$F$4,VLOOKUP(WEEKDAY(B519,2),Start!A$240:F$246,6,FALSE))),"")</f>
        <v/>
      </c>
      <c r="E519">
        <f t="shared" ca="1" si="558"/>
        <v>0</v>
      </c>
      <c r="F519">
        <f>IFERROR(IF(YEAR(B519)=Start!$B$1,MONTH(B519),""),"")</f>
        <v>10</v>
      </c>
      <c r="G519" s="64" t="str">
        <f>IFERROR(VLOOKUP(B519,Start!A$111:B$273,2,FALSE),"")</f>
        <v/>
      </c>
      <c r="H519" s="21"/>
      <c r="I519" s="78">
        <v>0.33333333333333331</v>
      </c>
      <c r="J519" s="78">
        <v>0.33333333333333331</v>
      </c>
      <c r="K519" s="1" t="str">
        <f>IF(Start!$B$6="Ja","",IF(((J519-I519)*24)&gt;=5.5,"X",""))</f>
        <v/>
      </c>
      <c r="L519" s="1" t="str">
        <f>IF(_xlfn.IFNA(MATCH($A519,Start!$H$3:$H$11,0),0)&gt;0,"Ferie",IFERROR(IF(VLOOKUP(B519,Start!A$165:B$234,2,FALSE)&gt;0,"Fri",0),IF(AND((J519-I519)=0,Z519=""),"",MAX((IF(K519="X",(J519-I519)*24-0.5,(J519-I519)*24)),Z519))))</f>
        <v/>
      </c>
      <c r="M519" s="58"/>
      <c r="N519" s="21" t="str">
        <f t="shared" ref="N519:N525" si="593">IF(H519=0,"",H519)</f>
        <v/>
      </c>
      <c r="O519" s="21" t="str">
        <f t="shared" ref="O519:O525" si="594">IF(L519=0,"",L519)</f>
        <v/>
      </c>
      <c r="P519" s="2"/>
      <c r="Q519" s="21"/>
      <c r="R519" s="78">
        <v>0.33333333333333331</v>
      </c>
      <c r="S519" s="78">
        <v>0.33333333333333331</v>
      </c>
      <c r="T519" s="1" t="str">
        <f>IF(Start!$B$6="Ja","",IF(((S519-R519)*24)&gt;=5.5,"X",""))</f>
        <v/>
      </c>
      <c r="U519" s="1" t="str">
        <f>IF(_xlfn.IFNA(MATCH($A$15,Start!$H$3:$H$11,0),0)&gt;0,"Ferie",(IF(L519="fri","Fri",(IF(L519="syk","Syk",IF(L519="Ferie","Ferie",IF(AND((S519-R519)=0,AB519=""),"",MAX((IF(T519="X",(S519-R519)*24-0.5,(S519-R519)*24)),AB519))))))))</f>
        <v/>
      </c>
      <c r="V519" s="58"/>
      <c r="W519" s="21" t="str">
        <f t="shared" ref="W519:W525" si="595">IF(Q519=0,"",Q519)</f>
        <v/>
      </c>
      <c r="X519" s="21" t="str">
        <f t="shared" ref="X519:X525" si="596">IF(U519=0,"",U519)</f>
        <v/>
      </c>
      <c r="Z519" s="70" t="str">
        <f>IF(SUMIFS(TrackingTime!H:H,TrackingTime!F:F,Timer!B519,TrackingTime!C:C,"Hovedkontoret")&gt;0,SUMIFS(TrackingTime!H:H,TrackingTime!F:F,Timer!B519,TrackingTime!C:C,"Hovedkontoret"),"")</f>
        <v/>
      </c>
      <c r="AA519" s="71" t="str">
        <f t="shared" si="529"/>
        <v/>
      </c>
      <c r="AB519" t="str">
        <f>IF(SUMIFS(TrackingTime!H:H,TrackingTime!F:F,Timer!B519,TrackingTime!C:C,Start!$F$3)&gt;0,SUMIFS(TrackingTime!H:H,TrackingTime!F:F,Timer!B519,TrackingTime!C:C,Start!$F$3),"")</f>
        <v/>
      </c>
      <c r="AC519" s="71" t="str">
        <f t="shared" si="532"/>
        <v/>
      </c>
    </row>
    <row r="520" spans="1:29" x14ac:dyDescent="0.25">
      <c r="A520" s="15"/>
      <c r="B520" s="63">
        <f t="shared" ref="B520:B525" si="597">B519+DAY(1)</f>
        <v>46315</v>
      </c>
      <c r="C520" t="str">
        <f>IFERROR(IF(OR(L520="Fri",L520="Ferie",L520="Syk",L520="Omsorg",B520&lt;Start!$B$7),0,IF(IFERROR(MATCH(B520,Start!A$253:A$273,0),0)&gt;0,VLOOKUP(B520,Start!A$253:F$273,3,FALSE)/100*Start!$B$4,VLOOKUP(WEEKDAY(B520,2),Start!A$240:F$246,4,FALSE))),"")</f>
        <v/>
      </c>
      <c r="D520" t="str">
        <f>IFERROR(IF(OR(U520="Fri",U520="Ferie",U520="Syk",U520="Omsorg",B520&lt;Start!$F$7),0,IF(IFERROR(MATCH(B520,Start!A$253:A$273,0),0)&gt;0,VLOOKUP(B520,Start!A$253:F$273,3,FALSE)/100*Start!$F$4,VLOOKUP(WEEKDAY(B520,2),Start!A$240:F$246,6,FALSE))),"")</f>
        <v/>
      </c>
      <c r="E520">
        <f t="shared" ca="1" si="558"/>
        <v>0</v>
      </c>
      <c r="F520">
        <f>IFERROR(IF(YEAR(B520)=Start!$B$1,MONTH(B520),""),"")</f>
        <v>10</v>
      </c>
      <c r="G520" s="64" t="str">
        <f>IFERROR(VLOOKUP(B520,Start!A$111:B$273,2,FALSE),"")</f>
        <v/>
      </c>
      <c r="H520" s="21"/>
      <c r="I520" s="78">
        <v>0.33333333333333331</v>
      </c>
      <c r="J520" s="78">
        <v>0.33333333333333331</v>
      </c>
      <c r="K520" s="1" t="str">
        <f>IF(Start!$B$6="Ja","",IF(((J520-I520)*24)&gt;=5.5,"X",""))</f>
        <v/>
      </c>
      <c r="L520" s="1" t="str">
        <f>IF(_xlfn.IFNA(MATCH($A519,Start!$H$3:$H$11,0),0)&gt;0,"Ferie",IFERROR(IF(VLOOKUP($B520,Start!$A$165:$B$234,2,FALSE)&gt;0,"Fri",0),IF(AND((J520-I520)=0,Z520=""),"",MAX((IF(K520="X",(J520-I520)*24-0.5,(J520-I520)*24)),Z520))))</f>
        <v/>
      </c>
      <c r="M520" s="58"/>
      <c r="N520" s="21" t="str">
        <f t="shared" si="593"/>
        <v/>
      </c>
      <c r="O520" s="21" t="str">
        <f t="shared" si="594"/>
        <v/>
      </c>
      <c r="P520" s="2"/>
      <c r="Q520" s="21"/>
      <c r="R520" s="78">
        <v>0.33333333333333331</v>
      </c>
      <c r="S520" s="78">
        <v>0.33333333333333331</v>
      </c>
      <c r="T520" s="1" t="str">
        <f>IF(Start!$B$6="Ja","",IF(((S520-R520)*24)&gt;=5.5,"X",""))</f>
        <v/>
      </c>
      <c r="U520" s="1" t="str">
        <f>IF(_xlfn.IFNA(MATCH($A$15,Start!$H$3:$H$11,0),0)&gt;0,"Ferie",(IF(L520="fri","Fri",(IF(L520="syk","Syk",IF(L520="Ferie","Ferie",IF(AND((S520-R520)=0,AB520=""),"",MAX((IF(T520="X",(S520-R520)*24-0.5,(S520-R520)*24)),AB520))))))))</f>
        <v/>
      </c>
      <c r="V520" s="58"/>
      <c r="W520" s="21" t="str">
        <f t="shared" si="595"/>
        <v/>
      </c>
      <c r="X520" s="21" t="str">
        <f t="shared" si="596"/>
        <v/>
      </c>
      <c r="Z520" s="70" t="str">
        <f>IF(SUMIFS(TrackingTime!H:H,TrackingTime!F:F,Timer!B520,TrackingTime!C:C,"Hovedkontoret")&gt;0,SUMIFS(TrackingTime!H:H,TrackingTime!F:F,Timer!B520,TrackingTime!C:C,"Hovedkontoret"),"")</f>
        <v/>
      </c>
      <c r="AA520" s="71" t="str">
        <f t="shared" si="529"/>
        <v/>
      </c>
      <c r="AB520" t="str">
        <f>IF(SUMIFS(TrackingTime!H:H,TrackingTime!F:F,Timer!B520,TrackingTime!C:C,Start!$F$3)&gt;0,SUMIFS(TrackingTime!H:H,TrackingTime!F:F,Timer!B520,TrackingTime!C:C,Start!$F$3),"")</f>
        <v/>
      </c>
      <c r="AC520" s="71" t="str">
        <f t="shared" si="532"/>
        <v/>
      </c>
    </row>
    <row r="521" spans="1:29" x14ac:dyDescent="0.25">
      <c r="A521" s="15"/>
      <c r="B521" s="63">
        <f t="shared" si="597"/>
        <v>46316</v>
      </c>
      <c r="C521" t="str">
        <f>IFERROR(IF(OR(L521="Fri",L521="Ferie",L521="Syk",L521="Omsorg",B521&lt;Start!$B$7),0,IF(IFERROR(MATCH(B521,Start!A$253:A$273,0),0)&gt;0,VLOOKUP(B521,Start!A$253:F$273,3,FALSE)/100*Start!$B$4,VLOOKUP(WEEKDAY(B521,2),Start!A$240:F$246,4,FALSE))),"")</f>
        <v/>
      </c>
      <c r="D521" t="str">
        <f>IFERROR(IF(OR(U521="Fri",U521="Ferie",U521="Syk",U521="Omsorg",B521&lt;Start!$F$7),0,IF(IFERROR(MATCH(B521,Start!A$253:A$273,0),0)&gt;0,VLOOKUP(B521,Start!A$253:F$273,3,FALSE)/100*Start!$F$4,VLOOKUP(WEEKDAY(B521,2),Start!A$240:F$246,6,FALSE))),"")</f>
        <v/>
      </c>
      <c r="E521">
        <f t="shared" ca="1" si="558"/>
        <v>0</v>
      </c>
      <c r="F521">
        <f>IFERROR(IF(YEAR(B521)=Start!$B$1,MONTH(B521),""),"")</f>
        <v>10</v>
      </c>
      <c r="G521" s="64" t="str">
        <f>IFERROR(VLOOKUP(B521,Start!A$111:B$273,2,FALSE),"")</f>
        <v/>
      </c>
      <c r="H521" s="21"/>
      <c r="I521" s="78">
        <v>0.33333333333333331</v>
      </c>
      <c r="J521" s="78">
        <v>0.33333333333333331</v>
      </c>
      <c r="K521" s="1" t="str">
        <f>IF(Start!$B$6="Ja","",IF(((J521-I521)*24)&gt;=5.5,"X",""))</f>
        <v/>
      </c>
      <c r="L521" s="1" t="str">
        <f>IF(_xlfn.IFNA(MATCH($A519,Start!$H$3:$H$11,0),0)&gt;0,"Ferie",IFERROR(IF(VLOOKUP(B521,Start!A$165:B$234,2,FALSE)&gt;0,"Fri",0),IF(AND((J521-I521)=0,Z521=""),"",MAX((IF(K521="X",(J521-I521)*24-0.5,(J521-I521)*24)),Z521))))</f>
        <v/>
      </c>
      <c r="M521" s="58"/>
      <c r="N521" s="21" t="str">
        <f t="shared" si="593"/>
        <v/>
      </c>
      <c r="O521" s="21" t="str">
        <f t="shared" si="594"/>
        <v/>
      </c>
      <c r="P521" s="2"/>
      <c r="Q521" s="21"/>
      <c r="R521" s="78">
        <v>0.33333333333333331</v>
      </c>
      <c r="S521" s="78">
        <v>0.33333333333333331</v>
      </c>
      <c r="T521" s="1" t="str">
        <f>IF(Start!$B$6="Ja","",IF(((S521-R521)*24)&gt;=5.5,"X",""))</f>
        <v/>
      </c>
      <c r="U521" s="1" t="str">
        <f>IF(_xlfn.IFNA(MATCH($A$15,Start!$H$3:$H$11,0),0)&gt;0,"Ferie",(IF(L521="fri","Fri",(IF(L521="syk","Syk",IF(L521="Ferie","Ferie",IF(AND((S521-R521)=0,AB521=""),"",MAX((IF(T521="X",(S521-R521)*24-0.5,(S521-R521)*24)),AB521))))))))</f>
        <v/>
      </c>
      <c r="V521" s="58"/>
      <c r="W521" s="21" t="str">
        <f t="shared" si="595"/>
        <v/>
      </c>
      <c r="X521" s="21" t="str">
        <f t="shared" si="596"/>
        <v/>
      </c>
      <c r="Z521" s="70" t="str">
        <f>IF(SUMIFS(TrackingTime!H:H,TrackingTime!F:F,Timer!B521,TrackingTime!C:C,"Hovedkontoret")&gt;0,SUMIFS(TrackingTime!H:H,TrackingTime!F:F,Timer!B521,TrackingTime!C:C,"Hovedkontoret"),"")</f>
        <v/>
      </c>
      <c r="AA521" s="71" t="str">
        <f t="shared" si="529"/>
        <v/>
      </c>
      <c r="AB521" t="str">
        <f>IF(SUMIFS(TrackingTime!H:H,TrackingTime!F:F,Timer!B521,TrackingTime!C:C,Start!$F$3)&gt;0,SUMIFS(TrackingTime!H:H,TrackingTime!F:F,Timer!B521,TrackingTime!C:C,Start!$F$3),"")</f>
        <v/>
      </c>
      <c r="AC521" s="71" t="str">
        <f t="shared" si="532"/>
        <v/>
      </c>
    </row>
    <row r="522" spans="1:29" x14ac:dyDescent="0.25">
      <c r="A522" s="15"/>
      <c r="B522" s="63">
        <f t="shared" si="597"/>
        <v>46317</v>
      </c>
      <c r="C522" t="str">
        <f>IFERROR(IF(OR(L522="Fri",L522="Ferie",L522="Syk",L522="Omsorg",B522&lt;Start!$B$7),0,IF(IFERROR(MATCH(B522,Start!A$253:A$273,0),0)&gt;0,VLOOKUP(B522,Start!A$253:F$273,3,FALSE)/100*Start!$B$4,VLOOKUP(WEEKDAY(B522,2),Start!A$240:F$246,4,FALSE))),"")</f>
        <v/>
      </c>
      <c r="D522" t="str">
        <f>IFERROR(IF(OR(U522="Fri",U522="Ferie",U522="Syk",U522="Omsorg",B522&lt;Start!$F$7),0,IF(IFERROR(MATCH(B522,Start!A$253:A$273,0),0)&gt;0,VLOOKUP(B522,Start!A$253:F$273,3,FALSE)/100*Start!$F$4,VLOOKUP(WEEKDAY(B522,2),Start!A$240:F$246,6,FALSE))),"")</f>
        <v/>
      </c>
      <c r="E522">
        <f t="shared" ca="1" si="558"/>
        <v>0</v>
      </c>
      <c r="F522">
        <f>IFERROR(IF(YEAR(B522)=Start!$B$1,MONTH(B522),""),"")</f>
        <v>10</v>
      </c>
      <c r="G522" s="64" t="str">
        <f>IFERROR(VLOOKUP(B522,Start!A$111:B$273,2,FALSE),"")</f>
        <v/>
      </c>
      <c r="H522" s="21"/>
      <c r="I522" s="78">
        <v>0.33333333333333331</v>
      </c>
      <c r="J522" s="78">
        <v>0.33333333333333331</v>
      </c>
      <c r="K522" s="1" t="str">
        <f>IF(Start!$B$6="Ja","",IF(((J522-I522)*24)&gt;=5.5,"X",""))</f>
        <v/>
      </c>
      <c r="L522" s="1" t="str">
        <f>IF(_xlfn.IFNA(MATCH($A519,Start!$H$3:$H$11,0),0)&gt;0,"Ferie",IFERROR(IF(VLOOKUP(B522,Start!A$165:B$234,2,FALSE)&gt;0,"Fri",0),IF(AND((J522-I522)=0,Z522=""),"",MAX((IF(K522="X",(J522-I522)*24-0.5,(J522-I522)*24)),Z522))))</f>
        <v/>
      </c>
      <c r="M522" s="58"/>
      <c r="N522" s="21" t="str">
        <f t="shared" si="593"/>
        <v/>
      </c>
      <c r="O522" s="21" t="str">
        <f t="shared" si="594"/>
        <v/>
      </c>
      <c r="P522" s="2"/>
      <c r="Q522" s="21"/>
      <c r="R522" s="78">
        <v>0.33333333333333331</v>
      </c>
      <c r="S522" s="78">
        <v>0.33333333333333331</v>
      </c>
      <c r="T522" s="1" t="str">
        <f>IF(Start!$B$6="Ja","",IF(((S522-R522)*24)&gt;=5.5,"X",""))</f>
        <v/>
      </c>
      <c r="U522" s="1" t="str">
        <f>IF(_xlfn.IFNA(MATCH($A$15,Start!$H$3:$H$11,0),0)&gt;0,"Ferie",(IF(L522="fri","Fri",(IF(L522="syk","Syk",IF(L522="Ferie","Ferie",IF(AND((S522-R522)=0,AB522=""),"",MAX((IF(T522="X",(S522-R522)*24-0.5,(S522-R522)*24)),AB522))))))))</f>
        <v/>
      </c>
      <c r="V522" s="58"/>
      <c r="W522" s="21" t="str">
        <f t="shared" si="595"/>
        <v/>
      </c>
      <c r="X522" s="21" t="str">
        <f t="shared" si="596"/>
        <v/>
      </c>
      <c r="Z522" s="70" t="str">
        <f>IF(SUMIFS(TrackingTime!H:H,TrackingTime!F:F,Timer!B522,TrackingTime!C:C,"Hovedkontoret")&gt;0,SUMIFS(TrackingTime!H:H,TrackingTime!F:F,Timer!B522,TrackingTime!C:C,"Hovedkontoret"),"")</f>
        <v/>
      </c>
      <c r="AA522" s="71" t="str">
        <f t="shared" si="529"/>
        <v/>
      </c>
      <c r="AB522" t="str">
        <f>IF(SUMIFS(TrackingTime!H:H,TrackingTime!F:F,Timer!B522,TrackingTime!C:C,Start!$F$3)&gt;0,SUMIFS(TrackingTime!H:H,TrackingTime!F:F,Timer!B522,TrackingTime!C:C,Start!$F$3),"")</f>
        <v/>
      </c>
      <c r="AC522" s="71" t="str">
        <f t="shared" si="532"/>
        <v/>
      </c>
    </row>
    <row r="523" spans="1:29" x14ac:dyDescent="0.25">
      <c r="A523" s="15"/>
      <c r="B523" s="63">
        <f t="shared" si="597"/>
        <v>46318</v>
      </c>
      <c r="C523" t="str">
        <f>IFERROR(IF(OR(L523="Fri",L523="Ferie",L523="Syk",L523="Omsorg",B523&lt;Start!$B$7),0,IF(IFERROR(MATCH(B523,Start!A$253:A$273,0),0)&gt;0,VLOOKUP(B523,Start!A$253:F$273,3,FALSE)/100*Start!$B$4,VLOOKUP(WEEKDAY(B523,2),Start!A$240:F$246,4,FALSE))),"")</f>
        <v/>
      </c>
      <c r="D523" t="str">
        <f>IFERROR(IF(OR(U523="Fri",U523="Ferie",U523="Syk",U523="Omsorg",B523&lt;Start!$F$7),0,IF(IFERROR(MATCH(B523,Start!A$253:A$273,0),0)&gt;0,VLOOKUP(B523,Start!A$253:F$273,3,FALSE)/100*Start!$F$4,VLOOKUP(WEEKDAY(B523,2),Start!A$240:F$246,6,FALSE))),"")</f>
        <v/>
      </c>
      <c r="E523">
        <f t="shared" ca="1" si="558"/>
        <v>0</v>
      </c>
      <c r="F523">
        <f>IFERROR(IF(YEAR(B523)=Start!$B$1,MONTH(B523),""),"")</f>
        <v>10</v>
      </c>
      <c r="G523" s="64" t="str">
        <f>IFERROR(VLOOKUP(B523,Start!A$111:B$273,2,FALSE),"")</f>
        <v/>
      </c>
      <c r="H523" s="21"/>
      <c r="I523" s="78">
        <v>0.33333333333333331</v>
      </c>
      <c r="J523" s="78">
        <v>0.33333333333333331</v>
      </c>
      <c r="K523" s="1" t="str">
        <f>IF(Start!$B$6="Ja","",IF(((J523-I523)*24)&gt;=5.5,"X",""))</f>
        <v/>
      </c>
      <c r="L523" s="1" t="str">
        <f>IF(_xlfn.IFNA(MATCH($A519,Start!$H$3:$H$11,0),0)&gt;0,"Ferie",IFERROR(IF(VLOOKUP(B523,Start!A$165:B$234,2,FALSE)&gt;0,"Fri",0),IF(AND((J523-I523)=0,Z523=""),"",MAX((IF(K523="X",(J523-I523)*24-0.5,(J523-I523)*24)),Z523))))</f>
        <v/>
      </c>
      <c r="M523" s="58"/>
      <c r="N523" s="21" t="str">
        <f t="shared" si="593"/>
        <v/>
      </c>
      <c r="O523" s="21" t="str">
        <f t="shared" si="594"/>
        <v/>
      </c>
      <c r="P523" s="2"/>
      <c r="Q523" s="21"/>
      <c r="R523" s="78">
        <v>0.33333333333333331</v>
      </c>
      <c r="S523" s="78">
        <v>0.33333333333333331</v>
      </c>
      <c r="T523" s="1" t="str">
        <f>IF(Start!$B$6="Ja","",IF(((S523-R523)*24)&gt;=5.5,"X",""))</f>
        <v/>
      </c>
      <c r="U523" s="1" t="str">
        <f>IF(_xlfn.IFNA(MATCH($A$15,Start!$H$3:$H$11,0),0)&gt;0,"Ferie",(IF(L523="fri","Fri",(IF(L523="syk","Syk",IF(L523="Ferie","Ferie",IF(AND((S523-R523)=0,AB523=""),"",MAX((IF(T523="X",(S523-R523)*24-0.5,(S523-R523)*24)),AB523))))))))</f>
        <v/>
      </c>
      <c r="V523" s="58"/>
      <c r="W523" s="21" t="str">
        <f t="shared" si="595"/>
        <v/>
      </c>
      <c r="X523" s="21" t="str">
        <f t="shared" si="596"/>
        <v/>
      </c>
      <c r="Z523" s="70" t="str">
        <f>IF(SUMIFS(TrackingTime!H:H,TrackingTime!F:F,Timer!B523,TrackingTime!C:C,"Hovedkontoret")&gt;0,SUMIFS(TrackingTime!H:H,TrackingTime!F:F,Timer!B523,TrackingTime!C:C,"Hovedkontoret"),"")</f>
        <v/>
      </c>
      <c r="AA523" s="71" t="str">
        <f t="shared" si="529"/>
        <v/>
      </c>
      <c r="AB523" t="str">
        <f>IF(SUMIFS(TrackingTime!H:H,TrackingTime!F:F,Timer!B523,TrackingTime!C:C,Start!$F$3)&gt;0,SUMIFS(TrackingTime!H:H,TrackingTime!F:F,Timer!B523,TrackingTime!C:C,Start!$F$3),"")</f>
        <v/>
      </c>
      <c r="AC523" s="71" t="str">
        <f t="shared" si="532"/>
        <v/>
      </c>
    </row>
    <row r="524" spans="1:29" x14ac:dyDescent="0.25">
      <c r="A524" s="15"/>
      <c r="B524" s="63">
        <f t="shared" si="597"/>
        <v>46319</v>
      </c>
      <c r="C524">
        <f>IFERROR(IF(OR(L524="Fri",L524="Ferie",L524="Syk",L524="Omsorg",B524&lt;Start!$B$7),0,IF(IFERROR(MATCH(B524,Start!A$253:A$273,0),0)&gt;0,VLOOKUP(B524,Start!A$253:F$273,3,FALSE)/100*Start!$B$4,VLOOKUP(WEEKDAY(B524,2),Start!A$240:F$246,4,FALSE))),"")</f>
        <v>0</v>
      </c>
      <c r="D524">
        <f>IFERROR(IF(OR(U524="Fri",U524="Ferie",U524="Syk",U524="Omsorg",B524&lt;Start!$F$7),0,IF(IFERROR(MATCH(B524,Start!A$253:A$273,0),0)&gt;0,VLOOKUP(B524,Start!A$253:F$273,3,FALSE)/100*Start!$F$4,VLOOKUP(WEEKDAY(B524,2),Start!A$240:F$246,6,FALSE))),"")</f>
        <v>0</v>
      </c>
      <c r="E524">
        <f t="shared" ca="1" si="558"/>
        <v>0</v>
      </c>
      <c r="F524">
        <f>IFERROR(IF(YEAR(B524)=Start!$B$1,MONTH(B524),""),"")</f>
        <v>10</v>
      </c>
      <c r="G524" s="64" t="str">
        <f>IFERROR(VLOOKUP(B524,Start!A$111:B$273,2,FALSE),"")</f>
        <v/>
      </c>
      <c r="H524" s="21"/>
      <c r="I524" s="78">
        <v>0.41666666666666669</v>
      </c>
      <c r="J524" s="78">
        <v>0.41666666666666669</v>
      </c>
      <c r="K524" s="1" t="str">
        <f>IF(Start!$B$6="Ja","",IF(((J524-I524)*24)&gt;=5.5,"X",""))</f>
        <v/>
      </c>
      <c r="L524" s="1" t="str">
        <f t="shared" ref="L524:L525" si="598">IF(AND((J524-I524)=0,Z524=""),"",MAX((IF(K524="X",(J524-I524)*24-0.5,(J524-I524)*24)),Z524))</f>
        <v/>
      </c>
      <c r="M524" s="58"/>
      <c r="N524" s="21" t="str">
        <f t="shared" si="593"/>
        <v/>
      </c>
      <c r="O524" s="21" t="str">
        <f t="shared" si="594"/>
        <v/>
      </c>
      <c r="P524" s="2"/>
      <c r="Q524" s="21"/>
      <c r="R524" s="78">
        <v>0.41666666666666669</v>
      </c>
      <c r="S524" s="78">
        <v>0.41666666666666669</v>
      </c>
      <c r="T524" s="1" t="str">
        <f>IF(Start!$B$6="Ja","",IF(((S524-R524)*24)&gt;=5.5,"X",""))</f>
        <v/>
      </c>
      <c r="U524" s="1" t="str">
        <f t="shared" ref="U524:U525" si="599">IF(AND((S524-R524)=0,AB524=""),"",MAX((IF(T524="X",(S524-R524)*24-0.5,(S524-R524)*24)),AB524))</f>
        <v/>
      </c>
      <c r="V524" s="58"/>
      <c r="W524" s="21" t="str">
        <f t="shared" si="595"/>
        <v/>
      </c>
      <c r="X524" s="21" t="str">
        <f t="shared" si="596"/>
        <v/>
      </c>
      <c r="Z524" s="70" t="str">
        <f>IF(SUMIFS(TrackingTime!H:H,TrackingTime!F:F,Timer!B524,TrackingTime!C:C,"Hovedkontoret")&gt;0,SUMIFS(TrackingTime!H:H,TrackingTime!F:F,Timer!B524,TrackingTime!C:C,"Hovedkontoret"),"")</f>
        <v/>
      </c>
      <c r="AA524" s="71" t="str">
        <f t="shared" si="529"/>
        <v/>
      </c>
      <c r="AB524" t="str">
        <f>IF(SUMIFS(TrackingTime!H:H,TrackingTime!F:F,Timer!B524,TrackingTime!C:C,Start!$F$3)&gt;0,SUMIFS(TrackingTime!H:H,TrackingTime!F:F,Timer!B524,TrackingTime!C:C,Start!$F$3),"")</f>
        <v/>
      </c>
      <c r="AC524" s="71" t="str">
        <f t="shared" si="532"/>
        <v/>
      </c>
    </row>
    <row r="525" spans="1:29" x14ac:dyDescent="0.25">
      <c r="A525" s="15"/>
      <c r="B525" s="63">
        <f t="shared" si="597"/>
        <v>46320</v>
      </c>
      <c r="C525">
        <f>IFERROR(IF(OR(L525="Fri",L525="Ferie",L525="Syk",L525="Omsorg",B525&lt;Start!$B$7),0,IF(IFERROR(MATCH(B525,Start!A$253:A$273,0),0)&gt;0,VLOOKUP(B525,Start!A$253:F$273,3,FALSE)/100*Start!$B$4,VLOOKUP(WEEKDAY(B525,2),Start!A$240:F$246,4,FALSE))),"")</f>
        <v>0</v>
      </c>
      <c r="D525">
        <f>IFERROR(IF(OR(U525="Fri",U525="Ferie",U525="Syk",U525="Omsorg",B525&lt;Start!$F$7),0,IF(IFERROR(MATCH(B525,Start!A$253:A$273,0),0)&gt;0,VLOOKUP(B525,Start!A$253:F$273,3,FALSE)/100*Start!$F$4,VLOOKUP(WEEKDAY(B525,2),Start!A$240:F$246,6,FALSE))),"")</f>
        <v>0</v>
      </c>
      <c r="E525">
        <f t="shared" ca="1" si="558"/>
        <v>0</v>
      </c>
      <c r="F525">
        <f>IFERROR(IF(YEAR(B525)=Start!$B$1,MONTH(B525),""),"")</f>
        <v>10</v>
      </c>
      <c r="G525" s="64" t="str">
        <f>IFERROR(VLOOKUP(B525,Start!A$111:B$273,2,FALSE),"")</f>
        <v/>
      </c>
      <c r="H525" s="25"/>
      <c r="I525" s="78">
        <v>0.41666666666666669</v>
      </c>
      <c r="J525" s="78">
        <v>0.41666666666666669</v>
      </c>
      <c r="K525" s="1" t="str">
        <f>IF(Start!$B$6="Ja","",IF(((J525-I525)*24)&gt;=5.5,"X",""))</f>
        <v/>
      </c>
      <c r="L525" s="1" t="str">
        <f t="shared" si="598"/>
        <v/>
      </c>
      <c r="M525" s="58"/>
      <c r="N525" s="21" t="str">
        <f t="shared" si="593"/>
        <v/>
      </c>
      <c r="O525" s="21" t="str">
        <f t="shared" si="594"/>
        <v/>
      </c>
      <c r="Q525" s="25"/>
      <c r="R525" s="78">
        <v>0.41666666666666669</v>
      </c>
      <c r="S525" s="78">
        <v>0.41666666666666669</v>
      </c>
      <c r="T525" s="1" t="str">
        <f>IF(Start!$B$6="Ja","",IF(((S525-R525)*24)&gt;=5.5,"X",""))</f>
        <v/>
      </c>
      <c r="U525" s="1" t="str">
        <f t="shared" si="599"/>
        <v/>
      </c>
      <c r="V525" s="58"/>
      <c r="W525" s="21" t="str">
        <f t="shared" si="595"/>
        <v/>
      </c>
      <c r="X525" s="21" t="str">
        <f t="shared" si="596"/>
        <v/>
      </c>
      <c r="Z525" s="70" t="str">
        <f>IF(SUMIFS(TrackingTime!H:H,TrackingTime!F:F,Timer!B525,TrackingTime!C:C,"Hovedkontoret")&gt;0,SUMIFS(TrackingTime!H:H,TrackingTime!F:F,Timer!B525,TrackingTime!C:C,"Hovedkontoret"),"")</f>
        <v/>
      </c>
      <c r="AA525" s="71" t="str">
        <f t="shared" si="529"/>
        <v/>
      </c>
      <c r="AB525" t="str">
        <f>IF(SUMIFS(TrackingTime!H:H,TrackingTime!F:F,Timer!B525,TrackingTime!C:C,Start!$F$3)&gt;0,SUMIFS(TrackingTime!H:H,TrackingTime!F:F,Timer!B525,TrackingTime!C:C,Start!$F$3),"")</f>
        <v/>
      </c>
      <c r="AC525" s="71" t="str">
        <f t="shared" si="532"/>
        <v/>
      </c>
    </row>
    <row r="526" spans="1:29" x14ac:dyDescent="0.25">
      <c r="A526" s="15"/>
      <c r="B526" s="4" t="s">
        <v>11</v>
      </c>
      <c r="C526" s="24"/>
      <c r="D526" s="24"/>
      <c r="E526" s="24">
        <f t="shared" ca="1" si="558"/>
        <v>0</v>
      </c>
      <c r="F526" s="24" t="str">
        <f>IFERROR(IF(YEAR(B526)=Start!$B$1,MONTH(B526),""),"")</f>
        <v/>
      </c>
      <c r="G526" s="64" t="str">
        <f>IFERROR(VLOOKUP(B526,Start!A$111:B$273,2,FALSE),"")</f>
        <v/>
      </c>
      <c r="H526" s="4"/>
      <c r="I526" s="4"/>
      <c r="J526" s="4"/>
      <c r="K526" s="4"/>
      <c r="L526" s="5">
        <f t="shared" ref="L526:L586" si="600">SUM($L519:$L525)</f>
        <v>0</v>
      </c>
      <c r="N526" s="24"/>
      <c r="O526" s="39">
        <f t="shared" ref="O526" si="601">SUM(O519:O525)</f>
        <v>0</v>
      </c>
      <c r="P526" s="40"/>
      <c r="Q526" s="41"/>
      <c r="R526" s="4"/>
      <c r="S526" s="4"/>
      <c r="T526" s="4"/>
      <c r="U526" s="5">
        <f t="shared" ref="U526" si="602">SUM($U519:$U525)</f>
        <v>0</v>
      </c>
      <c r="V526" s="58"/>
      <c r="W526" s="39"/>
      <c r="X526" s="39">
        <f t="shared" ref="X526:X574" si="603">SUM(X519:X525)</f>
        <v>0</v>
      </c>
      <c r="Z526" s="70" t="str">
        <f>IF(SUMIFS(TrackingTime!H:H,TrackingTime!F:F,Timer!B526,TrackingTime!C:C,"Hovedkontoret")&gt;0,SUMIFS(TrackingTime!H:H,TrackingTime!F:F,Timer!B526,TrackingTime!C:C,"Hovedkontoret"),"")</f>
        <v/>
      </c>
      <c r="AA526" s="71" t="str">
        <f t="shared" si="529"/>
        <v/>
      </c>
      <c r="AB526" t="str">
        <f>IF(SUMIFS(TrackingTime!H:H,TrackingTime!F:F,Timer!B526,TrackingTime!C:C,Start!$F$3)&gt;0,SUMIFS(TrackingTime!H:H,TrackingTime!F:F,Timer!B526,TrackingTime!C:C,Start!$F$3),"")</f>
        <v/>
      </c>
      <c r="AC526" s="71" t="str">
        <f t="shared" si="532"/>
        <v/>
      </c>
    </row>
    <row r="527" spans="1:29" x14ac:dyDescent="0.25">
      <c r="A527" s="15"/>
      <c r="B527" t="s">
        <v>90</v>
      </c>
      <c r="E527">
        <f t="shared" ca="1" si="558"/>
        <v>0</v>
      </c>
      <c r="F527" t="str">
        <f>IFERROR(IF(YEAR(B527)=Start!$B$1,MONTH(B527),""),"")</f>
        <v/>
      </c>
      <c r="G527" s="64" t="str">
        <f>IFERROR(VLOOKUP(B527,Start!A$111:B$273,2,FALSE),"")</f>
        <v/>
      </c>
      <c r="L527" s="1">
        <f t="shared" ref="L527:L587" si="604">SUMIFS(C519:C525,F519:F525,"&gt;0")</f>
        <v>0</v>
      </c>
      <c r="M527" s="1"/>
      <c r="N527" s="1"/>
      <c r="O527" s="21">
        <f t="shared" ref="O527" si="605">L527</f>
        <v>0</v>
      </c>
      <c r="P527" s="40"/>
      <c r="Q527" s="21"/>
      <c r="U527" s="1">
        <f t="shared" ref="U527" si="606">SUMIFS(D519:D525,F519:F525,"&gt;0")</f>
        <v>0</v>
      </c>
      <c r="V527" s="1"/>
      <c r="W527" s="1"/>
      <c r="X527" s="21">
        <f>U527</f>
        <v>0</v>
      </c>
      <c r="Z527" s="70" t="str">
        <f>IF(SUMIFS(TrackingTime!H:H,TrackingTime!F:F,Timer!B527,TrackingTime!C:C,"Hovedkontoret")&gt;0,SUMIFS(TrackingTime!H:H,TrackingTime!F:F,Timer!B527,TrackingTime!C:C,"Hovedkontoret"),"")</f>
        <v/>
      </c>
      <c r="AA527" s="71" t="str">
        <f t="shared" ref="AA527:AA590" si="607">IFERROR(Z527/24,"")</f>
        <v/>
      </c>
      <c r="AB527" t="str">
        <f>IF(SUMIFS(TrackingTime!H:H,TrackingTime!F:F,Timer!B527,TrackingTime!C:C,Start!$F$3)&gt;0,SUMIFS(TrackingTime!H:H,TrackingTime!F:F,Timer!B527,TrackingTime!C:C,Start!$F$3),"")</f>
        <v/>
      </c>
      <c r="AC527" s="71" t="str">
        <f t="shared" si="532"/>
        <v/>
      </c>
    </row>
    <row r="528" spans="1:29" x14ac:dyDescent="0.25">
      <c r="A528" s="16">
        <f>B525-B519-1</f>
        <v>5</v>
      </c>
      <c r="B528" t="s">
        <v>117</v>
      </c>
      <c r="E528">
        <f t="shared" ca="1" si="558"/>
        <v>0</v>
      </c>
      <c r="F528" t="str">
        <f>IFERROR(IF(YEAR(B528)=Start!$B$1,MONTH(B528),""),"")</f>
        <v/>
      </c>
      <c r="G528" s="64" t="str">
        <f>IFERROR(VLOOKUP(B528,Start!A$111:B$273,2,FALSE),"")</f>
        <v/>
      </c>
      <c r="L528" s="77">
        <f t="shared" ref="L528:L588" ca="1" si="608">L526-L527*(IF(NETWORKDAYS($B519,TODAY())&lt;0,0,IF(NETWORKDAYS($B519,TODAY())&lt;=$A528,NETWORKDAYS($B519,TODAY()),$A528)))/$A528</f>
        <v>0</v>
      </c>
      <c r="O528" s="21">
        <f t="shared" ref="O528" si="609">O526-O527</f>
        <v>0</v>
      </c>
      <c r="P528" s="21"/>
      <c r="Q528" s="21"/>
      <c r="U528" s="1">
        <f t="shared" ref="U528" ca="1" si="610">U526-U527*(IF(NETWORKDAYS($B519,TODAY())&lt;0,0,IF(NETWORKDAYS($B519,TODAY())&lt;=$A528,NETWORKDAYS($B519,TODAY()),$A528)))/$A528</f>
        <v>0</v>
      </c>
      <c r="V528" s="58"/>
      <c r="W528" s="21"/>
      <c r="X528" s="21">
        <f>X526-X527</f>
        <v>0</v>
      </c>
      <c r="Z528" s="70" t="str">
        <f>IF(SUMIFS(TrackingTime!H:H,TrackingTime!F:F,Timer!B528,TrackingTime!C:C,"Hovedkontoret")&gt;0,SUMIFS(TrackingTime!H:H,TrackingTime!F:F,Timer!B528,TrackingTime!C:C,"Hovedkontoret"),"")</f>
        <v/>
      </c>
      <c r="AA528" s="71" t="str">
        <f t="shared" si="607"/>
        <v/>
      </c>
      <c r="AB528" t="str">
        <f>IF(SUMIFS(TrackingTime!H:H,TrackingTime!F:F,Timer!B528,TrackingTime!C:C,Start!$F$3)&gt;0,SUMIFS(TrackingTime!H:H,TrackingTime!F:F,Timer!B528,TrackingTime!C:C,Start!$F$3),"")</f>
        <v/>
      </c>
      <c r="AC528" s="71" t="str">
        <f t="shared" ref="AC528:AC591" si="611">IFERROR(AB528/24,"")</f>
        <v/>
      </c>
    </row>
    <row r="529" spans="1:29" x14ac:dyDescent="0.25">
      <c r="A529" s="15"/>
      <c r="E529">
        <f t="shared" ca="1" si="558"/>
        <v>1</v>
      </c>
      <c r="F529" t="str">
        <f>IFERROR(IF(YEAR(B529)=Start!$B$1,MONTH(B529),""),"")</f>
        <v/>
      </c>
      <c r="G529" s="64" t="str">
        <f>IFERROR(VLOOKUP(B529,Start!A$111:B$273,2,FALSE),"")</f>
        <v/>
      </c>
      <c r="O529" s="2"/>
      <c r="P529" s="2"/>
      <c r="U529" s="1"/>
      <c r="V529" s="7"/>
      <c r="X529" s="2"/>
      <c r="Z529" s="70" t="str">
        <f>IF(SUMIFS(TrackingTime!H:H,TrackingTime!F:F,Timer!B529,TrackingTime!C:C,"Hovedkontoret")&gt;0,SUMIFS(TrackingTime!H:H,TrackingTime!F:F,Timer!B529,TrackingTime!C:C,"Hovedkontoret"),"")</f>
        <v/>
      </c>
      <c r="AA529" s="71" t="str">
        <f t="shared" si="607"/>
        <v/>
      </c>
      <c r="AB529" t="str">
        <f>IF(SUMIFS(TrackingTime!H:H,TrackingTime!F:F,Timer!B529,TrackingTime!C:C,Start!$F$3)&gt;0,SUMIFS(TrackingTime!H:H,TrackingTime!F:F,Timer!B529,TrackingTime!C:C,Start!$F$3),"")</f>
        <v/>
      </c>
      <c r="AC529" s="71" t="str">
        <f t="shared" si="611"/>
        <v/>
      </c>
    </row>
    <row r="530" spans="1:29" x14ac:dyDescent="0.25">
      <c r="A530" s="2" t="s">
        <v>82</v>
      </c>
      <c r="B530" s="14" t="s">
        <v>83</v>
      </c>
      <c r="E530">
        <f t="shared" ca="1" si="558"/>
        <v>0</v>
      </c>
      <c r="F530" t="str">
        <f>IFERROR(IF(YEAR(B530)=Start!$B$1,MONTH(B530),""),"")</f>
        <v/>
      </c>
      <c r="G530" s="64" t="str">
        <f>IFERROR(VLOOKUP(B530,Start!A$111:B$273,2,FALSE),"")</f>
        <v/>
      </c>
      <c r="H530" s="2" t="s">
        <v>86</v>
      </c>
      <c r="I530" s="2" t="s">
        <v>125</v>
      </c>
      <c r="J530" s="2" t="s">
        <v>126</v>
      </c>
      <c r="K530" s="2" t="s">
        <v>127</v>
      </c>
      <c r="L530" s="3" t="s">
        <v>87</v>
      </c>
      <c r="M530" s="6"/>
      <c r="N530" s="2" t="s">
        <v>88</v>
      </c>
      <c r="O530" s="2" t="s">
        <v>89</v>
      </c>
      <c r="P530" s="2"/>
      <c r="Q530" s="2" t="s">
        <v>86</v>
      </c>
      <c r="R530" s="2" t="s">
        <v>125</v>
      </c>
      <c r="S530" s="2" t="s">
        <v>126</v>
      </c>
      <c r="T530" s="2" t="s">
        <v>127</v>
      </c>
      <c r="U530" s="3" t="s">
        <v>87</v>
      </c>
      <c r="V530" s="6"/>
      <c r="W530" s="2" t="s">
        <v>88</v>
      </c>
      <c r="X530" s="2" t="s">
        <v>89</v>
      </c>
      <c r="Z530" s="70" t="str">
        <f>IF(SUMIFS(TrackingTime!H:H,TrackingTime!F:F,Timer!B530,TrackingTime!C:C,"Hovedkontoret")&gt;0,SUMIFS(TrackingTime!H:H,TrackingTime!F:F,Timer!B530,TrackingTime!C:C,"Hovedkontoret"),"")</f>
        <v/>
      </c>
      <c r="AA530" s="71" t="str">
        <f t="shared" si="607"/>
        <v/>
      </c>
      <c r="AB530" t="str">
        <f>IF(SUMIFS(TrackingTime!H:H,TrackingTime!F:F,Timer!B530,TrackingTime!C:C,Start!$F$3)&gt;0,SUMIFS(TrackingTime!H:H,TrackingTime!F:F,Timer!B530,TrackingTime!C:C,Start!$F$3),"")</f>
        <v/>
      </c>
      <c r="AC530" s="71" t="str">
        <f t="shared" si="611"/>
        <v/>
      </c>
    </row>
    <row r="531" spans="1:29" x14ac:dyDescent="0.25">
      <c r="A531" s="15">
        <f>WEEKNUM(B531,21)</f>
        <v>44</v>
      </c>
      <c r="B531" s="63">
        <f>B525+(DAY(1))</f>
        <v>46321</v>
      </c>
      <c r="C531" t="str">
        <f>IFERROR(IF(OR(L531="Fri",L531="Ferie",L531="Syk",L531="Omsorg",B531&lt;Start!$B$7),0,IF(IFERROR(MATCH(B531,Start!A$253:A$273,0),0)&gt;0,VLOOKUP(B531,Start!A$253:F$273,3,FALSE)/100*Start!$B$4,VLOOKUP(WEEKDAY(B531,2),Start!A$240:F$246,4,FALSE))),"")</f>
        <v/>
      </c>
      <c r="D531" t="str">
        <f>IFERROR(IF(OR(U531="Fri",U531="Ferie",U531="Syk",U531="Omsorg",B531&lt;Start!$F$7),0,IF(IFERROR(MATCH(B531,Start!A$253:A$273,0),0)&gt;0,VLOOKUP(B531,Start!A$253:F$273,3,FALSE)/100*Start!$F$4,VLOOKUP(WEEKDAY(B531,2),Start!A$240:F$246,6,FALSE))),"")</f>
        <v/>
      </c>
      <c r="E531">
        <f t="shared" ca="1" si="558"/>
        <v>0</v>
      </c>
      <c r="F531">
        <f>IFERROR(IF(YEAR(B531)=Start!$B$1,MONTH(B531),""),"")</f>
        <v>10</v>
      </c>
      <c r="G531" s="64" t="str">
        <f>IFERROR(VLOOKUP(B531,Start!A$111:B$273,2,FALSE),"")</f>
        <v/>
      </c>
      <c r="H531" s="21"/>
      <c r="I531" s="78">
        <v>0.33333333333333331</v>
      </c>
      <c r="J531" s="78">
        <v>0.33333333333333331</v>
      </c>
      <c r="K531" s="1" t="str">
        <f>IF(Start!$B$6="Ja","",IF(((J531-I531)*24)&gt;=5.5,"X",""))</f>
        <v/>
      </c>
      <c r="L531" s="1" t="str">
        <f>IF(_xlfn.IFNA(MATCH($A531,Start!$H$3:$H$11,0),0)&gt;0,"Ferie",IFERROR(IF(VLOOKUP(B531,Start!A$165:B$234,2,FALSE)&gt;0,"Fri",0),IF(AND((J531-I531)=0,Z531=""),"",MAX((IF(K531="X",(J531-I531)*24-0.5,(J531-I531)*24)),Z531))))</f>
        <v/>
      </c>
      <c r="M531" s="58"/>
      <c r="N531" s="21" t="str">
        <f t="shared" ref="N531:N537" si="612">IF(H531=0,"",H531)</f>
        <v/>
      </c>
      <c r="O531" s="21" t="str">
        <f t="shared" ref="O531:O537" si="613">IF(L531=0,"",L531)</f>
        <v/>
      </c>
      <c r="P531" s="2"/>
      <c r="Q531" s="21"/>
      <c r="R531" s="78">
        <v>0.33333333333333331</v>
      </c>
      <c r="S531" s="78">
        <v>0.33333333333333331</v>
      </c>
      <c r="T531" s="1" t="str">
        <f>IF(Start!$B$6="Ja","",IF(((S531-R531)*24)&gt;=5.5,"X",""))</f>
        <v/>
      </c>
      <c r="U531" s="1" t="str">
        <f>IF(_xlfn.IFNA(MATCH($A$15,Start!$H$3:$H$11,0),0)&gt;0,"Ferie",(IF(L531="fri","Fri",(IF(L531="syk","Syk",IF(L531="Ferie","Ferie",IF(AND((S531-R531)=0,AB531=""),"",MAX((IF(T531="X",(S531-R531)*24-0.5,(S531-R531)*24)),AB531))))))))</f>
        <v/>
      </c>
      <c r="V531" s="58"/>
      <c r="W531" s="21" t="str">
        <f t="shared" ref="W531:W537" si="614">IF(Q531=0,"",Q531)</f>
        <v/>
      </c>
      <c r="X531" s="21" t="str">
        <f t="shared" ref="X531:X537" si="615">IF(U531=0,"",U531)</f>
        <v/>
      </c>
      <c r="Z531" s="70" t="str">
        <f>IF(SUMIFS(TrackingTime!H:H,TrackingTime!F:F,Timer!B531,TrackingTime!C:C,"Hovedkontoret")&gt;0,SUMIFS(TrackingTime!H:H,TrackingTime!F:F,Timer!B531,TrackingTime!C:C,"Hovedkontoret"),"")</f>
        <v/>
      </c>
      <c r="AA531" s="71" t="str">
        <f t="shared" si="607"/>
        <v/>
      </c>
      <c r="AB531" t="str">
        <f>IF(SUMIFS(TrackingTime!H:H,TrackingTime!F:F,Timer!B531,TrackingTime!C:C,Start!$F$3)&gt;0,SUMIFS(TrackingTime!H:H,TrackingTime!F:F,Timer!B531,TrackingTime!C:C,Start!$F$3),"")</f>
        <v/>
      </c>
      <c r="AC531" s="71" t="str">
        <f t="shared" si="611"/>
        <v/>
      </c>
    </row>
    <row r="532" spans="1:29" x14ac:dyDescent="0.25">
      <c r="A532" s="15"/>
      <c r="B532" s="63">
        <f t="shared" ref="B532:B537" si="616">B531+DAY(1)</f>
        <v>46322</v>
      </c>
      <c r="C532" t="str">
        <f>IFERROR(IF(OR(L532="Fri",L532="Ferie",L532="Syk",L532="Omsorg",B532&lt;Start!$B$7),0,IF(IFERROR(MATCH(B532,Start!A$253:A$273,0),0)&gt;0,VLOOKUP(B532,Start!A$253:F$273,3,FALSE)/100*Start!$B$4,VLOOKUP(WEEKDAY(B532,2),Start!A$240:F$246,4,FALSE))),"")</f>
        <v/>
      </c>
      <c r="D532" t="str">
        <f>IFERROR(IF(OR(U532="Fri",U532="Ferie",U532="Syk",U532="Omsorg",B532&lt;Start!$F$7),0,IF(IFERROR(MATCH(B532,Start!A$253:A$273,0),0)&gt;0,VLOOKUP(B532,Start!A$253:F$273,3,FALSE)/100*Start!$F$4,VLOOKUP(WEEKDAY(B532,2),Start!A$240:F$246,6,FALSE))),"")</f>
        <v/>
      </c>
      <c r="E532">
        <f t="shared" ca="1" si="558"/>
        <v>0</v>
      </c>
      <c r="F532">
        <f>IFERROR(IF(YEAR(B532)=Start!$B$1,MONTH(B532),""),"")</f>
        <v>10</v>
      </c>
      <c r="G532" s="64" t="str">
        <f>IFERROR(VLOOKUP(B532,Start!A$111:B$273,2,FALSE),"")</f>
        <v/>
      </c>
      <c r="H532" s="21"/>
      <c r="I532" s="78">
        <v>0.33333333333333331</v>
      </c>
      <c r="J532" s="78">
        <v>0.33333333333333331</v>
      </c>
      <c r="K532" s="1" t="str">
        <f>IF(Start!$B$6="Ja","",IF(((J532-I532)*24)&gt;=5.5,"X",""))</f>
        <v/>
      </c>
      <c r="L532" s="1" t="str">
        <f>IF(_xlfn.IFNA(MATCH($A531,Start!$H$3:$H$11,0),0)&gt;0,"Ferie",IFERROR(IF(VLOOKUP($B532,Start!$A$165:$B$234,2,FALSE)&gt;0,"Fri",0),IF(AND((J532-I532)=0,Z532=""),"",MAX((IF(K532="X",(J532-I532)*24-0.5,(J532-I532)*24)),Z532))))</f>
        <v/>
      </c>
      <c r="M532" s="58"/>
      <c r="N532" s="21" t="str">
        <f t="shared" si="612"/>
        <v/>
      </c>
      <c r="O532" s="21" t="str">
        <f t="shared" si="613"/>
        <v/>
      </c>
      <c r="P532" s="2"/>
      <c r="Q532" s="21"/>
      <c r="R532" s="78">
        <v>0.33333333333333331</v>
      </c>
      <c r="S532" s="78">
        <v>0.33333333333333331</v>
      </c>
      <c r="T532" s="1" t="str">
        <f>IF(Start!$B$6="Ja","",IF(((S532-R532)*24)&gt;=5.5,"X",""))</f>
        <v/>
      </c>
      <c r="U532" s="1" t="str">
        <f>IF(_xlfn.IFNA(MATCH($A$15,Start!$H$3:$H$11,0),0)&gt;0,"Ferie",(IF(L532="fri","Fri",(IF(L532="syk","Syk",IF(L532="Ferie","Ferie",IF(AND((S532-R532)=0,AB532=""),"",MAX((IF(T532="X",(S532-R532)*24-0.5,(S532-R532)*24)),AB532))))))))</f>
        <v/>
      </c>
      <c r="V532" s="58"/>
      <c r="W532" s="21" t="str">
        <f t="shared" si="614"/>
        <v/>
      </c>
      <c r="X532" s="21" t="str">
        <f t="shared" si="615"/>
        <v/>
      </c>
      <c r="Z532" s="70" t="str">
        <f>IF(SUMIFS(TrackingTime!H:H,TrackingTime!F:F,Timer!B532,TrackingTime!C:C,"Hovedkontoret")&gt;0,SUMIFS(TrackingTime!H:H,TrackingTime!F:F,Timer!B532,TrackingTime!C:C,"Hovedkontoret"),"")</f>
        <v/>
      </c>
      <c r="AA532" s="71" t="str">
        <f t="shared" si="607"/>
        <v/>
      </c>
      <c r="AB532" t="str">
        <f>IF(SUMIFS(TrackingTime!H:H,TrackingTime!F:F,Timer!B532,TrackingTime!C:C,Start!$F$3)&gt;0,SUMIFS(TrackingTime!H:H,TrackingTime!F:F,Timer!B532,TrackingTime!C:C,Start!$F$3),"")</f>
        <v/>
      </c>
      <c r="AC532" s="71" t="str">
        <f t="shared" si="611"/>
        <v/>
      </c>
    </row>
    <row r="533" spans="1:29" x14ac:dyDescent="0.25">
      <c r="A533" s="15"/>
      <c r="B533" s="63">
        <f t="shared" si="616"/>
        <v>46323</v>
      </c>
      <c r="C533" t="str">
        <f>IFERROR(IF(OR(L533="Fri",L533="Ferie",L533="Syk",L533="Omsorg",B533&lt;Start!$B$7),0,IF(IFERROR(MATCH(B533,Start!A$253:A$273,0),0)&gt;0,VLOOKUP(B533,Start!A$253:F$273,3,FALSE)/100*Start!$B$4,VLOOKUP(WEEKDAY(B533,2),Start!A$240:F$246,4,FALSE))),"")</f>
        <v/>
      </c>
      <c r="D533" t="str">
        <f>IFERROR(IF(OR(U533="Fri",U533="Ferie",U533="Syk",U533="Omsorg",B533&lt;Start!$F$7),0,IF(IFERROR(MATCH(B533,Start!A$253:A$273,0),0)&gt;0,VLOOKUP(B533,Start!A$253:F$273,3,FALSE)/100*Start!$F$4,VLOOKUP(WEEKDAY(B533,2),Start!A$240:F$246,6,FALSE))),"")</f>
        <v/>
      </c>
      <c r="E533">
        <f t="shared" ca="1" si="558"/>
        <v>0</v>
      </c>
      <c r="F533">
        <f>IFERROR(IF(YEAR(B533)=Start!$B$1,MONTH(B533),""),"")</f>
        <v>10</v>
      </c>
      <c r="G533" s="64" t="str">
        <f>IFERROR(VLOOKUP(B533,Start!A$111:B$273,2,FALSE),"")</f>
        <v/>
      </c>
      <c r="H533" s="21"/>
      <c r="I533" s="78">
        <v>0.33333333333333331</v>
      </c>
      <c r="J533" s="78">
        <v>0.33333333333333331</v>
      </c>
      <c r="K533" s="1" t="str">
        <f>IF(Start!$B$6="Ja","",IF(((J533-I533)*24)&gt;=5.5,"X",""))</f>
        <v/>
      </c>
      <c r="L533" s="1" t="str">
        <f>IF(_xlfn.IFNA(MATCH($A531,Start!$H$3:$H$11,0),0)&gt;0,"Ferie",IFERROR(IF(VLOOKUP(B533,Start!A$165:B$234,2,FALSE)&gt;0,"Fri",0),IF(AND((J533-I533)=0,Z533=""),"",MAX((IF(K533="X",(J533-I533)*24-0.5,(J533-I533)*24)),Z533))))</f>
        <v/>
      </c>
      <c r="M533" s="58"/>
      <c r="N533" s="21" t="str">
        <f t="shared" si="612"/>
        <v/>
      </c>
      <c r="O533" s="21" t="str">
        <f t="shared" si="613"/>
        <v/>
      </c>
      <c r="P533" s="2"/>
      <c r="Q533" s="21"/>
      <c r="R533" s="78">
        <v>0.33333333333333331</v>
      </c>
      <c r="S533" s="78">
        <v>0.33333333333333331</v>
      </c>
      <c r="T533" s="1" t="str">
        <f>IF(Start!$B$6="Ja","",IF(((S533-R533)*24)&gt;=5.5,"X",""))</f>
        <v/>
      </c>
      <c r="U533" s="1" t="str">
        <f>IF(_xlfn.IFNA(MATCH($A$15,Start!$H$3:$H$11,0),0)&gt;0,"Ferie",(IF(L533="fri","Fri",(IF(L533="syk","Syk",IF(L533="Ferie","Ferie",IF(AND((S533-R533)=0,AB533=""),"",MAX((IF(T533="X",(S533-R533)*24-0.5,(S533-R533)*24)),AB533))))))))</f>
        <v/>
      </c>
      <c r="V533" s="58"/>
      <c r="W533" s="21" t="str">
        <f t="shared" si="614"/>
        <v/>
      </c>
      <c r="X533" s="21" t="str">
        <f t="shared" si="615"/>
        <v/>
      </c>
      <c r="Z533" s="70" t="str">
        <f>IF(SUMIFS(TrackingTime!H:H,TrackingTime!F:F,Timer!B533,TrackingTime!C:C,"Hovedkontoret")&gt;0,SUMIFS(TrackingTime!H:H,TrackingTime!F:F,Timer!B533,TrackingTime!C:C,"Hovedkontoret"),"")</f>
        <v/>
      </c>
      <c r="AA533" s="71" t="str">
        <f t="shared" si="607"/>
        <v/>
      </c>
      <c r="AB533" t="str">
        <f>IF(SUMIFS(TrackingTime!H:H,TrackingTime!F:F,Timer!B533,TrackingTime!C:C,Start!$F$3)&gt;0,SUMIFS(TrackingTime!H:H,TrackingTime!F:F,Timer!B533,TrackingTime!C:C,Start!$F$3),"")</f>
        <v/>
      </c>
      <c r="AC533" s="71" t="str">
        <f t="shared" si="611"/>
        <v/>
      </c>
    </row>
    <row r="534" spans="1:29" x14ac:dyDescent="0.25">
      <c r="A534" s="15"/>
      <c r="B534" s="63">
        <f t="shared" si="616"/>
        <v>46324</v>
      </c>
      <c r="C534" t="str">
        <f>IFERROR(IF(OR(L534="Fri",L534="Ferie",L534="Syk",L534="Omsorg",B534&lt;Start!$B$7),0,IF(IFERROR(MATCH(B534,Start!A$253:A$273,0),0)&gt;0,VLOOKUP(B534,Start!A$253:F$273,3,FALSE)/100*Start!$B$4,VLOOKUP(WEEKDAY(B534,2),Start!A$240:F$246,4,FALSE))),"")</f>
        <v/>
      </c>
      <c r="D534" t="str">
        <f>IFERROR(IF(OR(U534="Fri",U534="Ferie",U534="Syk",U534="Omsorg",B534&lt;Start!$F$7),0,IF(IFERROR(MATCH(B534,Start!A$253:A$273,0),0)&gt;0,VLOOKUP(B534,Start!A$253:F$273,3,FALSE)/100*Start!$F$4,VLOOKUP(WEEKDAY(B534,2),Start!A$240:F$246,6,FALSE))),"")</f>
        <v/>
      </c>
      <c r="E534">
        <f t="shared" ca="1" si="558"/>
        <v>0</v>
      </c>
      <c r="F534">
        <f>IFERROR(IF(YEAR(B534)=Start!$B$1,MONTH(B534),""),"")</f>
        <v>10</v>
      </c>
      <c r="G534" s="64" t="str">
        <f>IFERROR(VLOOKUP(B534,Start!A$111:B$273,2,FALSE),"")</f>
        <v/>
      </c>
      <c r="H534" s="21"/>
      <c r="I534" s="78">
        <v>0.33333333333333331</v>
      </c>
      <c r="J534" s="78">
        <v>0.33333333333333331</v>
      </c>
      <c r="K534" s="1" t="str">
        <f>IF(Start!$B$6="Ja","",IF(((J534-I534)*24)&gt;=5.5,"X",""))</f>
        <v/>
      </c>
      <c r="L534" s="1" t="str">
        <f>IF(_xlfn.IFNA(MATCH($A531,Start!$H$3:$H$11,0),0)&gt;0,"Ferie",IFERROR(IF(VLOOKUP(B534,Start!A$165:B$234,2,FALSE)&gt;0,"Fri",0),IF(AND((J534-I534)=0,Z534=""),"",MAX((IF(K534="X",(J534-I534)*24-0.5,(J534-I534)*24)),Z534))))</f>
        <v/>
      </c>
      <c r="M534" s="58"/>
      <c r="N534" s="21" t="str">
        <f t="shared" si="612"/>
        <v/>
      </c>
      <c r="O534" s="21" t="str">
        <f t="shared" si="613"/>
        <v/>
      </c>
      <c r="P534" s="2"/>
      <c r="Q534" s="21"/>
      <c r="R534" s="78">
        <v>0.33333333333333331</v>
      </c>
      <c r="S534" s="78">
        <v>0.33333333333333331</v>
      </c>
      <c r="T534" s="1" t="str">
        <f>IF(Start!$B$6="Ja","",IF(((S534-R534)*24)&gt;=5.5,"X",""))</f>
        <v/>
      </c>
      <c r="U534" s="1" t="str">
        <f>IF(_xlfn.IFNA(MATCH($A$15,Start!$H$3:$H$11,0),0)&gt;0,"Ferie",(IF(L534="fri","Fri",(IF(L534="syk","Syk",IF(L534="Ferie","Ferie",IF(AND((S534-R534)=0,AB534=""),"",MAX((IF(T534="X",(S534-R534)*24-0.5,(S534-R534)*24)),AB534))))))))</f>
        <v/>
      </c>
      <c r="V534" s="58"/>
      <c r="W534" s="21" t="str">
        <f t="shared" si="614"/>
        <v/>
      </c>
      <c r="X534" s="21" t="str">
        <f t="shared" si="615"/>
        <v/>
      </c>
      <c r="Z534" s="70" t="str">
        <f>IF(SUMIFS(TrackingTime!H:H,TrackingTime!F:F,Timer!B534,TrackingTime!C:C,"Hovedkontoret")&gt;0,SUMIFS(TrackingTime!H:H,TrackingTime!F:F,Timer!B534,TrackingTime!C:C,"Hovedkontoret"),"")</f>
        <v/>
      </c>
      <c r="AA534" s="71" t="str">
        <f t="shared" si="607"/>
        <v/>
      </c>
      <c r="AB534" t="str">
        <f>IF(SUMIFS(TrackingTime!H:H,TrackingTime!F:F,Timer!B534,TrackingTime!C:C,Start!$F$3)&gt;0,SUMIFS(TrackingTime!H:H,TrackingTime!F:F,Timer!B534,TrackingTime!C:C,Start!$F$3),"")</f>
        <v/>
      </c>
      <c r="AC534" s="71" t="str">
        <f t="shared" si="611"/>
        <v/>
      </c>
    </row>
    <row r="535" spans="1:29" x14ac:dyDescent="0.25">
      <c r="A535" s="15"/>
      <c r="B535" s="63">
        <f t="shared" si="616"/>
        <v>46325</v>
      </c>
      <c r="C535" t="str">
        <f>IFERROR(IF(OR(L535="Fri",L535="Ferie",L535="Syk",L535="Omsorg",B535&lt;Start!$B$7),0,IF(IFERROR(MATCH(B535,Start!A$253:A$273,0),0)&gt;0,VLOOKUP(B535,Start!A$253:F$273,3,FALSE)/100*Start!$B$4,VLOOKUP(WEEKDAY(B535,2),Start!A$240:F$246,4,FALSE))),"")</f>
        <v/>
      </c>
      <c r="D535" t="str">
        <f>IFERROR(IF(OR(U535="Fri",U535="Ferie",U535="Syk",U535="Omsorg",B535&lt;Start!$F$7),0,IF(IFERROR(MATCH(B535,Start!A$253:A$273,0),0)&gt;0,VLOOKUP(B535,Start!A$253:F$273,3,FALSE)/100*Start!$F$4,VLOOKUP(WEEKDAY(B535,2),Start!A$240:F$246,6,FALSE))),"")</f>
        <v/>
      </c>
      <c r="E535">
        <f t="shared" ca="1" si="558"/>
        <v>0</v>
      </c>
      <c r="F535">
        <f>IFERROR(IF(YEAR(B535)=Start!$B$1,MONTH(B535),""),"")</f>
        <v>10</v>
      </c>
      <c r="G535" s="64" t="str">
        <f>IFERROR(VLOOKUP(B535,Start!A$111:B$273,2,FALSE),"")</f>
        <v/>
      </c>
      <c r="H535" s="21"/>
      <c r="I535" s="78">
        <v>0.33333333333333331</v>
      </c>
      <c r="J535" s="78">
        <v>0.33333333333333331</v>
      </c>
      <c r="K535" s="1" t="str">
        <f>IF(Start!$B$6="Ja","",IF(((J535-I535)*24)&gt;=5.5,"X",""))</f>
        <v/>
      </c>
      <c r="L535" s="1" t="str">
        <f>IF(_xlfn.IFNA(MATCH($A531,Start!$H$3:$H$11,0),0)&gt;0,"Ferie",IFERROR(IF(VLOOKUP(B535,Start!A$165:B$234,2,FALSE)&gt;0,"Fri",0),IF(AND((J535-I535)=0,Z535=""),"",MAX((IF(K535="X",(J535-I535)*24-0.5,(J535-I535)*24)),Z535))))</f>
        <v/>
      </c>
      <c r="M535" s="58"/>
      <c r="N535" s="21" t="str">
        <f t="shared" si="612"/>
        <v/>
      </c>
      <c r="O535" s="21" t="str">
        <f t="shared" si="613"/>
        <v/>
      </c>
      <c r="P535" s="2"/>
      <c r="Q535" s="21"/>
      <c r="R535" s="78">
        <v>0.33333333333333331</v>
      </c>
      <c r="S535" s="78">
        <v>0.33333333333333331</v>
      </c>
      <c r="T535" s="1" t="str">
        <f>IF(Start!$B$6="Ja","",IF(((S535-R535)*24)&gt;=5.5,"X",""))</f>
        <v/>
      </c>
      <c r="U535" s="1" t="str">
        <f>IF(_xlfn.IFNA(MATCH($A$15,Start!$H$3:$H$11,0),0)&gt;0,"Ferie",(IF(L535="fri","Fri",(IF(L535="syk","Syk",IF(L535="Ferie","Ferie",IF(AND((S535-R535)=0,AB535=""),"",MAX((IF(T535="X",(S535-R535)*24-0.5,(S535-R535)*24)),AB535))))))))</f>
        <v/>
      </c>
      <c r="V535" s="58"/>
      <c r="W535" s="21" t="str">
        <f t="shared" si="614"/>
        <v/>
      </c>
      <c r="X535" s="21" t="str">
        <f t="shared" si="615"/>
        <v/>
      </c>
      <c r="Z535" s="70" t="str">
        <f>IF(SUMIFS(TrackingTime!H:H,TrackingTime!F:F,Timer!B535,TrackingTime!C:C,"Hovedkontoret")&gt;0,SUMIFS(TrackingTime!H:H,TrackingTime!F:F,Timer!B535,TrackingTime!C:C,"Hovedkontoret"),"")</f>
        <v/>
      </c>
      <c r="AA535" s="71" t="str">
        <f t="shared" si="607"/>
        <v/>
      </c>
      <c r="AB535" t="str">
        <f>IF(SUMIFS(TrackingTime!H:H,TrackingTime!F:F,Timer!B535,TrackingTime!C:C,Start!$F$3)&gt;0,SUMIFS(TrackingTime!H:H,TrackingTime!F:F,Timer!B535,TrackingTime!C:C,Start!$F$3),"")</f>
        <v/>
      </c>
      <c r="AC535" s="71" t="str">
        <f t="shared" si="611"/>
        <v/>
      </c>
    </row>
    <row r="536" spans="1:29" x14ac:dyDescent="0.25">
      <c r="A536" s="15"/>
      <c r="B536" s="63">
        <f t="shared" si="616"/>
        <v>46326</v>
      </c>
      <c r="C536">
        <f>IFERROR(IF(OR(L536="Fri",L536="Ferie",L536="Syk",L536="Omsorg",B536&lt;Start!$B$7),0,IF(IFERROR(MATCH(B536,Start!A$253:A$273,0),0)&gt;0,VLOOKUP(B536,Start!A$253:F$273,3,FALSE)/100*Start!$B$4,VLOOKUP(WEEKDAY(B536,2),Start!A$240:F$246,4,FALSE))),"")</f>
        <v>0</v>
      </c>
      <c r="D536">
        <f>IFERROR(IF(OR(U536="Fri",U536="Ferie",U536="Syk",U536="Omsorg",B536&lt;Start!$F$7),0,IF(IFERROR(MATCH(B536,Start!A$253:A$273,0),0)&gt;0,VLOOKUP(B536,Start!A$253:F$273,3,FALSE)/100*Start!$F$4,VLOOKUP(WEEKDAY(B536,2),Start!A$240:F$246,6,FALSE))),"")</f>
        <v>0</v>
      </c>
      <c r="E536">
        <f t="shared" ca="1" si="558"/>
        <v>0</v>
      </c>
      <c r="F536">
        <f>IFERROR(IF(YEAR(B536)=Start!$B$1,MONTH(B536),""),"")</f>
        <v>10</v>
      </c>
      <c r="G536" s="64" t="str">
        <f>IFERROR(VLOOKUP(B536,Start!A$111:B$273,2,FALSE),"")</f>
        <v/>
      </c>
      <c r="H536" s="21"/>
      <c r="I536" s="78">
        <v>0.41666666666666669</v>
      </c>
      <c r="J536" s="78">
        <v>0.41666666666666669</v>
      </c>
      <c r="K536" s="1" t="str">
        <f>IF(Start!$B$6="Ja","",IF(((J536-I536)*24)&gt;=5.5,"X",""))</f>
        <v/>
      </c>
      <c r="L536" s="1" t="str">
        <f t="shared" ref="L536:L537" si="617">IF(AND((J536-I536)=0,Z536=""),"",MAX((IF(K536="X",(J536-I536)*24-0.5,(J536-I536)*24)),Z536))</f>
        <v/>
      </c>
      <c r="M536" s="58"/>
      <c r="N536" s="21" t="str">
        <f t="shared" si="612"/>
        <v/>
      </c>
      <c r="O536" s="21" t="str">
        <f t="shared" si="613"/>
        <v/>
      </c>
      <c r="P536" s="2"/>
      <c r="Q536" s="21"/>
      <c r="R536" s="78">
        <v>0.41666666666666669</v>
      </c>
      <c r="S536" s="78">
        <v>0.41666666666666669</v>
      </c>
      <c r="T536" s="1" t="str">
        <f>IF(Start!$B$6="Ja","",IF(((S536-R536)*24)&gt;=5.5,"X",""))</f>
        <v/>
      </c>
      <c r="U536" s="1" t="str">
        <f t="shared" ref="U536:U537" si="618">IF(AND((S536-R536)=0,AB536=""),"",MAX((IF(T536="X",(S536-R536)*24-0.5,(S536-R536)*24)),AB536))</f>
        <v/>
      </c>
      <c r="V536" s="58"/>
      <c r="W536" s="21" t="str">
        <f t="shared" si="614"/>
        <v/>
      </c>
      <c r="X536" s="21" t="str">
        <f t="shared" si="615"/>
        <v/>
      </c>
      <c r="Z536" s="70" t="str">
        <f>IF(SUMIFS(TrackingTime!H:H,TrackingTime!F:F,Timer!B536,TrackingTime!C:C,"Hovedkontoret")&gt;0,SUMIFS(TrackingTime!H:H,TrackingTime!F:F,Timer!B536,TrackingTime!C:C,"Hovedkontoret"),"")</f>
        <v/>
      </c>
      <c r="AA536" s="71" t="str">
        <f t="shared" si="607"/>
        <v/>
      </c>
      <c r="AB536" t="str">
        <f>IF(SUMIFS(TrackingTime!H:H,TrackingTime!F:F,Timer!B536,TrackingTime!C:C,Start!$F$3)&gt;0,SUMIFS(TrackingTime!H:H,TrackingTime!F:F,Timer!B536,TrackingTime!C:C,Start!$F$3),"")</f>
        <v/>
      </c>
      <c r="AC536" s="71" t="str">
        <f t="shared" si="611"/>
        <v/>
      </c>
    </row>
    <row r="537" spans="1:29" x14ac:dyDescent="0.25">
      <c r="A537" s="15"/>
      <c r="B537" s="63">
        <f t="shared" si="616"/>
        <v>46327</v>
      </c>
      <c r="C537">
        <f>IFERROR(IF(OR(L537="Fri",L537="Ferie",L537="Syk",L537="Omsorg",B537&lt;Start!$B$7),0,IF(IFERROR(MATCH(B537,Start!A$253:A$273,0),0)&gt;0,VLOOKUP(B537,Start!A$253:F$273,3,FALSE)/100*Start!$B$4,VLOOKUP(WEEKDAY(B537,2),Start!A$240:F$246,4,FALSE))),"")</f>
        <v>0</v>
      </c>
      <c r="D537">
        <f>IFERROR(IF(OR(U537="Fri",U537="Ferie",U537="Syk",U537="Omsorg",B537&lt;Start!$F$7),0,IF(IFERROR(MATCH(B537,Start!A$253:A$273,0),0)&gt;0,VLOOKUP(B537,Start!A$253:F$273,3,FALSE)/100*Start!$F$4,VLOOKUP(WEEKDAY(B537,2),Start!A$240:F$246,6,FALSE))),"")</f>
        <v>0</v>
      </c>
      <c r="E537">
        <f t="shared" ca="1" si="558"/>
        <v>0</v>
      </c>
      <c r="F537">
        <f>IFERROR(IF(YEAR(B537)=Start!$B$1,MONTH(B537),""),"")</f>
        <v>11</v>
      </c>
      <c r="G537" s="64" t="str">
        <f>IFERROR(VLOOKUP(B537,Start!A$111:B$273,2,FALSE),"")</f>
        <v/>
      </c>
      <c r="H537" s="25"/>
      <c r="I537" s="78">
        <v>0.41666666666666669</v>
      </c>
      <c r="J537" s="78">
        <v>0.41666666666666669</v>
      </c>
      <c r="K537" s="1" t="str">
        <f>IF(Start!$B$6="Ja","",IF(((J537-I537)*24)&gt;=5.5,"X",""))</f>
        <v/>
      </c>
      <c r="L537" s="1" t="str">
        <f t="shared" si="617"/>
        <v/>
      </c>
      <c r="M537" s="58"/>
      <c r="N537" s="21" t="str">
        <f t="shared" si="612"/>
        <v/>
      </c>
      <c r="O537" s="21" t="str">
        <f t="shared" si="613"/>
        <v/>
      </c>
      <c r="Q537" s="25"/>
      <c r="R537" s="78">
        <v>0.41666666666666669</v>
      </c>
      <c r="S537" s="78">
        <v>0.41666666666666669</v>
      </c>
      <c r="T537" s="1" t="str">
        <f>IF(Start!$B$6="Ja","",IF(((S537-R537)*24)&gt;=5.5,"X",""))</f>
        <v/>
      </c>
      <c r="U537" s="1" t="str">
        <f t="shared" si="618"/>
        <v/>
      </c>
      <c r="V537" s="58"/>
      <c r="W537" s="21" t="str">
        <f t="shared" si="614"/>
        <v/>
      </c>
      <c r="X537" s="21" t="str">
        <f t="shared" si="615"/>
        <v/>
      </c>
      <c r="Z537" s="70" t="str">
        <f>IF(SUMIFS(TrackingTime!H:H,TrackingTime!F:F,Timer!B537,TrackingTime!C:C,"Hovedkontoret")&gt;0,SUMIFS(TrackingTime!H:H,TrackingTime!F:F,Timer!B537,TrackingTime!C:C,"Hovedkontoret"),"")</f>
        <v/>
      </c>
      <c r="AA537" s="71" t="str">
        <f t="shared" si="607"/>
        <v/>
      </c>
      <c r="AB537" t="str">
        <f>IF(SUMIFS(TrackingTime!H:H,TrackingTime!F:F,Timer!B537,TrackingTime!C:C,Start!$F$3)&gt;0,SUMIFS(TrackingTime!H:H,TrackingTime!F:F,Timer!B537,TrackingTime!C:C,Start!$F$3),"")</f>
        <v/>
      </c>
      <c r="AC537" s="71" t="str">
        <f t="shared" si="611"/>
        <v/>
      </c>
    </row>
    <row r="538" spans="1:29" x14ac:dyDescent="0.25">
      <c r="A538" s="15"/>
      <c r="B538" s="4" t="s">
        <v>11</v>
      </c>
      <c r="C538" s="24"/>
      <c r="D538" s="24"/>
      <c r="E538" s="24">
        <f t="shared" ca="1" si="558"/>
        <v>0</v>
      </c>
      <c r="F538" s="24" t="str">
        <f>IFERROR(IF(YEAR(B538)=Start!$B$1,MONTH(B538),""),"")</f>
        <v/>
      </c>
      <c r="G538" s="64" t="str">
        <f>IFERROR(VLOOKUP(B538,Start!A$111:B$273,2,FALSE),"")</f>
        <v/>
      </c>
      <c r="H538" s="4"/>
      <c r="I538" s="4"/>
      <c r="J538" s="4"/>
      <c r="K538" s="4"/>
      <c r="L538" s="5">
        <f t="shared" si="600"/>
        <v>0</v>
      </c>
      <c r="N538" s="24"/>
      <c r="O538" s="39">
        <f t="shared" ref="O538" si="619">SUM(O531:O537)</f>
        <v>0</v>
      </c>
      <c r="P538" s="40"/>
      <c r="Q538" s="41"/>
      <c r="R538" s="4"/>
      <c r="S538" s="4"/>
      <c r="T538" s="4"/>
      <c r="U538" s="5">
        <f t="shared" ref="U538" si="620">SUM($U531:$U537)</f>
        <v>0</v>
      </c>
      <c r="V538" s="58"/>
      <c r="W538" s="39"/>
      <c r="X538" s="39">
        <f t="shared" si="603"/>
        <v>0</v>
      </c>
      <c r="Z538" s="70" t="str">
        <f>IF(SUMIFS(TrackingTime!H:H,TrackingTime!F:F,Timer!B538,TrackingTime!C:C,"Hovedkontoret")&gt;0,SUMIFS(TrackingTime!H:H,TrackingTime!F:F,Timer!B538,TrackingTime!C:C,"Hovedkontoret"),"")</f>
        <v/>
      </c>
      <c r="AA538" s="71" t="str">
        <f t="shared" si="607"/>
        <v/>
      </c>
      <c r="AB538" t="str">
        <f>IF(SUMIFS(TrackingTime!H:H,TrackingTime!F:F,Timer!B538,TrackingTime!C:C,Start!$F$3)&gt;0,SUMIFS(TrackingTime!H:H,TrackingTime!F:F,Timer!B538,TrackingTime!C:C,Start!$F$3),"")</f>
        <v/>
      </c>
      <c r="AC538" s="71" t="str">
        <f t="shared" si="611"/>
        <v/>
      </c>
    </row>
    <row r="539" spans="1:29" x14ac:dyDescent="0.25">
      <c r="A539" s="15"/>
      <c r="B539" t="s">
        <v>90</v>
      </c>
      <c r="E539">
        <f t="shared" ca="1" si="558"/>
        <v>0</v>
      </c>
      <c r="F539" t="str">
        <f>IFERROR(IF(YEAR(B539)=Start!$B$1,MONTH(B539),""),"")</f>
        <v/>
      </c>
      <c r="G539" s="64" t="str">
        <f>IFERROR(VLOOKUP(B539,Start!A$111:B$273,2,FALSE),"")</f>
        <v/>
      </c>
      <c r="L539" s="1">
        <f t="shared" si="604"/>
        <v>0</v>
      </c>
      <c r="M539" s="1"/>
      <c r="N539" s="1"/>
      <c r="O539" s="21">
        <f t="shared" ref="O539" si="621">L539</f>
        <v>0</v>
      </c>
      <c r="P539" s="40"/>
      <c r="Q539" s="21"/>
      <c r="U539" s="1">
        <f t="shared" ref="U539" si="622">SUMIFS(D531:D537,F531:F537,"&gt;0")</f>
        <v>0</v>
      </c>
      <c r="V539" s="1"/>
      <c r="W539" s="1"/>
      <c r="X539" s="21">
        <f>U539</f>
        <v>0</v>
      </c>
      <c r="Z539" s="70" t="str">
        <f>IF(SUMIFS(TrackingTime!H:H,TrackingTime!F:F,Timer!B539,TrackingTime!C:C,"Hovedkontoret")&gt;0,SUMIFS(TrackingTime!H:H,TrackingTime!F:F,Timer!B539,TrackingTime!C:C,"Hovedkontoret"),"")</f>
        <v/>
      </c>
      <c r="AA539" s="71" t="str">
        <f t="shared" si="607"/>
        <v/>
      </c>
      <c r="AB539" t="str">
        <f>IF(SUMIFS(TrackingTime!H:H,TrackingTime!F:F,Timer!B539,TrackingTime!C:C,Start!$F$3)&gt;0,SUMIFS(TrackingTime!H:H,TrackingTime!F:F,Timer!B539,TrackingTime!C:C,Start!$F$3),"")</f>
        <v/>
      </c>
      <c r="AC539" s="71" t="str">
        <f t="shared" si="611"/>
        <v/>
      </c>
    </row>
    <row r="540" spans="1:29" x14ac:dyDescent="0.25">
      <c r="A540" s="16">
        <f>B537-B531-1</f>
        <v>5</v>
      </c>
      <c r="B540" t="s">
        <v>117</v>
      </c>
      <c r="E540">
        <f t="shared" ca="1" si="558"/>
        <v>0</v>
      </c>
      <c r="F540" t="str">
        <f>IFERROR(IF(YEAR(B540)=Start!$B$1,MONTH(B540),""),"")</f>
        <v/>
      </c>
      <c r="G540" s="64" t="str">
        <f>IFERROR(VLOOKUP(B540,Start!A$111:B$273,2,FALSE),"")</f>
        <v/>
      </c>
      <c r="L540" s="77">
        <f t="shared" ca="1" si="608"/>
        <v>0</v>
      </c>
      <c r="O540" s="21">
        <f t="shared" ref="O540" si="623">O538-O539</f>
        <v>0</v>
      </c>
      <c r="P540" s="21"/>
      <c r="Q540" s="21"/>
      <c r="U540" s="1">
        <f t="shared" ref="U540" ca="1" si="624">U538-U539*(IF(NETWORKDAYS($B531,TODAY())&lt;0,0,IF(NETWORKDAYS($B531,TODAY())&lt;=$A540,NETWORKDAYS($B531,TODAY()),$A540)))/$A540</f>
        <v>0</v>
      </c>
      <c r="V540" s="58"/>
      <c r="W540" s="21"/>
      <c r="X540" s="21">
        <f>X538-X539</f>
        <v>0</v>
      </c>
      <c r="Z540" s="70" t="str">
        <f>IF(SUMIFS(TrackingTime!H:H,TrackingTime!F:F,Timer!B540,TrackingTime!C:C,"Hovedkontoret")&gt;0,SUMIFS(TrackingTime!H:H,TrackingTime!F:F,Timer!B540,TrackingTime!C:C,"Hovedkontoret"),"")</f>
        <v/>
      </c>
      <c r="AA540" s="71" t="str">
        <f t="shared" si="607"/>
        <v/>
      </c>
      <c r="AB540" t="str">
        <f>IF(SUMIFS(TrackingTime!H:H,TrackingTime!F:F,Timer!B540,TrackingTime!C:C,Start!$F$3)&gt;0,SUMIFS(TrackingTime!H:H,TrackingTime!F:F,Timer!B540,TrackingTime!C:C,Start!$F$3),"")</f>
        <v/>
      </c>
      <c r="AC540" s="71" t="str">
        <f t="shared" si="611"/>
        <v/>
      </c>
    </row>
    <row r="541" spans="1:29" x14ac:dyDescent="0.25">
      <c r="A541" s="15"/>
      <c r="E541">
        <f t="shared" ca="1" si="558"/>
        <v>1</v>
      </c>
      <c r="F541" t="str">
        <f>IFERROR(IF(YEAR(B541)=Start!$B$1,MONTH(B541),""),"")</f>
        <v/>
      </c>
      <c r="G541" s="64" t="str">
        <f>IFERROR(VLOOKUP(B541,Start!A$111:B$273,2,FALSE),"")</f>
        <v/>
      </c>
      <c r="O541" s="2"/>
      <c r="P541" s="2"/>
      <c r="U541" s="1"/>
      <c r="V541" s="7"/>
      <c r="X541" s="2"/>
      <c r="Z541" s="70" t="str">
        <f>IF(SUMIFS(TrackingTime!H:H,TrackingTime!F:F,Timer!B541,TrackingTime!C:C,"Hovedkontoret")&gt;0,SUMIFS(TrackingTime!H:H,TrackingTime!F:F,Timer!B541,TrackingTime!C:C,"Hovedkontoret"),"")</f>
        <v/>
      </c>
      <c r="AA541" s="71" t="str">
        <f t="shared" si="607"/>
        <v/>
      </c>
      <c r="AB541" t="str">
        <f>IF(SUMIFS(TrackingTime!H:H,TrackingTime!F:F,Timer!B541,TrackingTime!C:C,Start!$F$3)&gt;0,SUMIFS(TrackingTime!H:H,TrackingTime!F:F,Timer!B541,TrackingTime!C:C,Start!$F$3),"")</f>
        <v/>
      </c>
      <c r="AC541" s="71" t="str">
        <f t="shared" si="611"/>
        <v/>
      </c>
    </row>
    <row r="542" spans="1:29" x14ac:dyDescent="0.25">
      <c r="A542" s="2" t="s">
        <v>82</v>
      </c>
      <c r="B542" s="14" t="s">
        <v>83</v>
      </c>
      <c r="E542">
        <f t="shared" ca="1" si="558"/>
        <v>0</v>
      </c>
      <c r="F542" t="str">
        <f>IFERROR(IF(YEAR(B542)=Start!$B$1,MONTH(B542),""),"")</f>
        <v/>
      </c>
      <c r="G542" s="64" t="str">
        <f>IFERROR(VLOOKUP(B542,Start!A$111:B$273,2,FALSE),"")</f>
        <v/>
      </c>
      <c r="H542" s="2" t="s">
        <v>86</v>
      </c>
      <c r="I542" s="2" t="s">
        <v>125</v>
      </c>
      <c r="J542" s="2" t="s">
        <v>126</v>
      </c>
      <c r="K542" s="2" t="s">
        <v>127</v>
      </c>
      <c r="L542" s="3" t="s">
        <v>87</v>
      </c>
      <c r="M542" s="6"/>
      <c r="N542" s="2" t="s">
        <v>88</v>
      </c>
      <c r="O542" s="2" t="s">
        <v>89</v>
      </c>
      <c r="P542" s="2"/>
      <c r="Q542" s="2" t="s">
        <v>86</v>
      </c>
      <c r="R542" s="2" t="s">
        <v>125</v>
      </c>
      <c r="S542" s="2" t="s">
        <v>126</v>
      </c>
      <c r="T542" s="2" t="s">
        <v>127</v>
      </c>
      <c r="U542" s="3" t="s">
        <v>87</v>
      </c>
      <c r="V542" s="6"/>
      <c r="W542" s="2" t="s">
        <v>88</v>
      </c>
      <c r="X542" s="2" t="s">
        <v>89</v>
      </c>
      <c r="Z542" s="70" t="str">
        <f>IF(SUMIFS(TrackingTime!H:H,TrackingTime!F:F,Timer!B542,TrackingTime!C:C,"Hovedkontoret")&gt;0,SUMIFS(TrackingTime!H:H,TrackingTime!F:F,Timer!B542,TrackingTime!C:C,"Hovedkontoret"),"")</f>
        <v/>
      </c>
      <c r="AA542" s="71" t="str">
        <f t="shared" si="607"/>
        <v/>
      </c>
      <c r="AB542" t="str">
        <f>IF(SUMIFS(TrackingTime!H:H,TrackingTime!F:F,Timer!B542,TrackingTime!C:C,Start!$F$3)&gt;0,SUMIFS(TrackingTime!H:H,TrackingTime!F:F,Timer!B542,TrackingTime!C:C,Start!$F$3),"")</f>
        <v/>
      </c>
      <c r="AC542" s="71" t="str">
        <f t="shared" si="611"/>
        <v/>
      </c>
    </row>
    <row r="543" spans="1:29" x14ac:dyDescent="0.25">
      <c r="A543" s="15">
        <f>WEEKNUM(B543,21)</f>
        <v>45</v>
      </c>
      <c r="B543" s="63">
        <f>B537+(DAY(1))</f>
        <v>46328</v>
      </c>
      <c r="C543" t="str">
        <f>IFERROR(IF(OR(L543="Fri",L543="Ferie",L543="Syk",L543="Omsorg",B543&lt;Start!$B$7),0,IF(IFERROR(MATCH(B543,Start!A$253:A$273,0),0)&gt;0,VLOOKUP(B543,Start!A$253:F$273,3,FALSE)/100*Start!$B$4,VLOOKUP(WEEKDAY(B543,2),Start!A$240:F$246,4,FALSE))),"")</f>
        <v/>
      </c>
      <c r="D543" t="str">
        <f>IFERROR(IF(OR(U543="Fri",U543="Ferie",U543="Syk",U543="Omsorg",B543&lt;Start!$F$7),0,IF(IFERROR(MATCH(B543,Start!A$253:A$273,0),0)&gt;0,VLOOKUP(B543,Start!A$253:F$273,3,FALSE)/100*Start!$F$4,VLOOKUP(WEEKDAY(B543,2),Start!A$240:F$246,6,FALSE))),"")</f>
        <v/>
      </c>
      <c r="E543">
        <f t="shared" ca="1" si="558"/>
        <v>0</v>
      </c>
      <c r="F543">
        <f>IFERROR(IF(YEAR(B543)=Start!$B$1,MONTH(B543),""),"")</f>
        <v>11</v>
      </c>
      <c r="G543" s="64" t="str">
        <f>IFERROR(VLOOKUP(B543,Start!A$111:B$273,2,FALSE),"")</f>
        <v/>
      </c>
      <c r="H543" s="21"/>
      <c r="I543" s="78">
        <v>0.33333333333333331</v>
      </c>
      <c r="J543" s="78">
        <v>0.33333333333333331</v>
      </c>
      <c r="K543" s="1" t="str">
        <f>IF(Start!$B$6="Ja","",IF(((J543-I543)*24)&gt;=5.5,"X",""))</f>
        <v/>
      </c>
      <c r="L543" s="1" t="str">
        <f>IF(_xlfn.IFNA(MATCH($A543,Start!$H$3:$H$11,0),0)&gt;0,"Ferie",IFERROR(IF(VLOOKUP(B543,Start!A$165:B$234,2,FALSE)&gt;0,"Fri",0),IF(AND((J543-I543)=0,Z543=""),"",MAX((IF(K543="X",(J543-I543)*24-0.5,(J543-I543)*24)),Z543))))</f>
        <v/>
      </c>
      <c r="M543" s="58"/>
      <c r="N543" s="21" t="str">
        <f t="shared" ref="N543:N549" si="625">IF(H543=0,"",H543)</f>
        <v/>
      </c>
      <c r="O543" s="21" t="str">
        <f t="shared" ref="O543:O549" si="626">IF(L543=0,"",L543)</f>
        <v/>
      </c>
      <c r="P543" s="2"/>
      <c r="Q543" s="21"/>
      <c r="R543" s="78">
        <v>0.33333333333333331</v>
      </c>
      <c r="S543" s="78">
        <v>0.33333333333333331</v>
      </c>
      <c r="T543" s="1" t="str">
        <f>IF(Start!$B$6="Ja","",IF(((S543-R543)*24)&gt;=5.5,"X",""))</f>
        <v/>
      </c>
      <c r="U543" s="1" t="str">
        <f>IF(_xlfn.IFNA(MATCH($A$15,Start!$H$3:$H$11,0),0)&gt;0,"Ferie",(IF(L543="fri","Fri",(IF(L543="syk","Syk",IF(L543="Ferie","Ferie",IF(AND((S543-R543)=0,AB543=""),"",MAX((IF(T543="X",(S543-R543)*24-0.5,(S543-R543)*24)),AB543))))))))</f>
        <v/>
      </c>
      <c r="V543" s="58"/>
      <c r="W543" s="21" t="str">
        <f t="shared" ref="W543:W549" si="627">IF(Q543=0,"",Q543)</f>
        <v/>
      </c>
      <c r="X543" s="21" t="str">
        <f t="shared" ref="X543:X549" si="628">IF(U543=0,"",U543)</f>
        <v/>
      </c>
      <c r="Z543" s="70" t="str">
        <f>IF(SUMIFS(TrackingTime!H:H,TrackingTime!F:F,Timer!B543,TrackingTime!C:C,"Hovedkontoret")&gt;0,SUMIFS(TrackingTime!H:H,TrackingTime!F:F,Timer!B543,TrackingTime!C:C,"Hovedkontoret"),"")</f>
        <v/>
      </c>
      <c r="AA543" s="71" t="str">
        <f t="shared" si="607"/>
        <v/>
      </c>
      <c r="AB543" t="str">
        <f>IF(SUMIFS(TrackingTime!H:H,TrackingTime!F:F,Timer!B543,TrackingTime!C:C,Start!$F$3)&gt;0,SUMIFS(TrackingTime!H:H,TrackingTime!F:F,Timer!B543,TrackingTime!C:C,Start!$F$3),"")</f>
        <v/>
      </c>
      <c r="AC543" s="71" t="str">
        <f t="shared" si="611"/>
        <v/>
      </c>
    </row>
    <row r="544" spans="1:29" x14ac:dyDescent="0.25">
      <c r="A544" s="15"/>
      <c r="B544" s="63">
        <f t="shared" ref="B544:B549" si="629">B543+DAY(1)</f>
        <v>46329</v>
      </c>
      <c r="C544" t="str">
        <f>IFERROR(IF(OR(L544="Fri",L544="Ferie",L544="Syk",L544="Omsorg",B544&lt;Start!$B$7),0,IF(IFERROR(MATCH(B544,Start!A$253:A$273,0),0)&gt;0,VLOOKUP(B544,Start!A$253:F$273,3,FALSE)/100*Start!$B$4,VLOOKUP(WEEKDAY(B544,2),Start!A$240:F$246,4,FALSE))),"")</f>
        <v/>
      </c>
      <c r="D544" t="str">
        <f>IFERROR(IF(OR(U544="Fri",U544="Ferie",U544="Syk",U544="Omsorg",B544&lt;Start!$F$7),0,IF(IFERROR(MATCH(B544,Start!A$253:A$273,0),0)&gt;0,VLOOKUP(B544,Start!A$253:F$273,3,FALSE)/100*Start!$F$4,VLOOKUP(WEEKDAY(B544,2),Start!A$240:F$246,6,FALSE))),"")</f>
        <v/>
      </c>
      <c r="E544">
        <f t="shared" ca="1" si="558"/>
        <v>0</v>
      </c>
      <c r="F544">
        <f>IFERROR(IF(YEAR(B544)=Start!$B$1,MONTH(B544),""),"")</f>
        <v>11</v>
      </c>
      <c r="G544" s="64" t="str">
        <f>IFERROR(VLOOKUP(B544,Start!A$111:B$273,2,FALSE),"")</f>
        <v/>
      </c>
      <c r="H544" s="21"/>
      <c r="I544" s="78">
        <v>0.33333333333333331</v>
      </c>
      <c r="J544" s="78">
        <v>0.33333333333333331</v>
      </c>
      <c r="K544" s="1" t="str">
        <f>IF(Start!$B$6="Ja","",IF(((J544-I544)*24)&gt;=5.5,"X",""))</f>
        <v/>
      </c>
      <c r="L544" s="1" t="str">
        <f>IF(_xlfn.IFNA(MATCH($A543,Start!$H$3:$H$11,0),0)&gt;0,"Ferie",IFERROR(IF(VLOOKUP($B544,Start!$A$165:$B$234,2,FALSE)&gt;0,"Fri",0),IF(AND((J544-I544)=0,Z544=""),"",MAX((IF(K544="X",(J544-I544)*24-0.5,(J544-I544)*24)),Z544))))</f>
        <v/>
      </c>
      <c r="M544" s="58"/>
      <c r="N544" s="21" t="str">
        <f t="shared" si="625"/>
        <v/>
      </c>
      <c r="O544" s="21" t="str">
        <f t="shared" si="626"/>
        <v/>
      </c>
      <c r="P544" s="2"/>
      <c r="Q544" s="21"/>
      <c r="R544" s="78">
        <v>0.33333333333333331</v>
      </c>
      <c r="S544" s="78">
        <v>0.33333333333333331</v>
      </c>
      <c r="T544" s="1" t="str">
        <f>IF(Start!$B$6="Ja","",IF(((S544-R544)*24)&gt;=5.5,"X",""))</f>
        <v/>
      </c>
      <c r="U544" s="1" t="str">
        <f>IF(_xlfn.IFNA(MATCH($A$15,Start!$H$3:$H$11,0),0)&gt;0,"Ferie",(IF(L544="fri","Fri",(IF(L544="syk","Syk",IF(L544="Ferie","Ferie",IF(AND((S544-R544)=0,AB544=""),"",MAX((IF(T544="X",(S544-R544)*24-0.5,(S544-R544)*24)),AB544))))))))</f>
        <v/>
      </c>
      <c r="V544" s="58"/>
      <c r="W544" s="21" t="str">
        <f t="shared" si="627"/>
        <v/>
      </c>
      <c r="X544" s="21" t="str">
        <f t="shared" si="628"/>
        <v/>
      </c>
      <c r="Z544" s="70" t="str">
        <f>IF(SUMIFS(TrackingTime!H:H,TrackingTime!F:F,Timer!B544,TrackingTime!C:C,"Hovedkontoret")&gt;0,SUMIFS(TrackingTime!H:H,TrackingTime!F:F,Timer!B544,TrackingTime!C:C,"Hovedkontoret"),"")</f>
        <v/>
      </c>
      <c r="AA544" s="71" t="str">
        <f t="shared" si="607"/>
        <v/>
      </c>
      <c r="AB544" t="str">
        <f>IF(SUMIFS(TrackingTime!H:H,TrackingTime!F:F,Timer!B544,TrackingTime!C:C,Start!$F$3)&gt;0,SUMIFS(TrackingTime!H:H,TrackingTime!F:F,Timer!B544,TrackingTime!C:C,Start!$F$3),"")</f>
        <v/>
      </c>
      <c r="AC544" s="71" t="str">
        <f t="shared" si="611"/>
        <v/>
      </c>
    </row>
    <row r="545" spans="1:29" x14ac:dyDescent="0.25">
      <c r="A545" s="15"/>
      <c r="B545" s="63">
        <f t="shared" si="629"/>
        <v>46330</v>
      </c>
      <c r="C545" t="str">
        <f>IFERROR(IF(OR(L545="Fri",L545="Ferie",L545="Syk",L545="Omsorg",B545&lt;Start!$B$7),0,IF(IFERROR(MATCH(B545,Start!A$253:A$273,0),0)&gt;0,VLOOKUP(B545,Start!A$253:F$273,3,FALSE)/100*Start!$B$4,VLOOKUP(WEEKDAY(B545,2),Start!A$240:F$246,4,FALSE))),"")</f>
        <v/>
      </c>
      <c r="D545" t="str">
        <f>IFERROR(IF(OR(U545="Fri",U545="Ferie",U545="Syk",U545="Omsorg",B545&lt;Start!$F$7),0,IF(IFERROR(MATCH(B545,Start!A$253:A$273,0),0)&gt;0,VLOOKUP(B545,Start!A$253:F$273,3,FALSE)/100*Start!$F$4,VLOOKUP(WEEKDAY(B545,2),Start!A$240:F$246,6,FALSE))),"")</f>
        <v/>
      </c>
      <c r="E545">
        <f t="shared" ca="1" si="558"/>
        <v>0</v>
      </c>
      <c r="F545">
        <f>IFERROR(IF(YEAR(B545)=Start!$B$1,MONTH(B545),""),"")</f>
        <v>11</v>
      </c>
      <c r="G545" s="64" t="str">
        <f>IFERROR(VLOOKUP(B545,Start!A$111:B$273,2,FALSE),"")</f>
        <v/>
      </c>
      <c r="H545" s="21"/>
      <c r="I545" s="78">
        <v>0.33333333333333331</v>
      </c>
      <c r="J545" s="78">
        <v>0.33333333333333331</v>
      </c>
      <c r="K545" s="1" t="str">
        <f>IF(Start!$B$6="Ja","",IF(((J545-I545)*24)&gt;=5.5,"X",""))</f>
        <v/>
      </c>
      <c r="L545" s="1" t="str">
        <f>IF(_xlfn.IFNA(MATCH($A543,Start!$H$3:$H$11,0),0)&gt;0,"Ferie",IFERROR(IF(VLOOKUP(B545,Start!A$165:B$234,2,FALSE)&gt;0,"Fri",0),IF(AND((J545-I545)=0,Z545=""),"",MAX((IF(K545="X",(J545-I545)*24-0.5,(J545-I545)*24)),Z545))))</f>
        <v/>
      </c>
      <c r="M545" s="58"/>
      <c r="N545" s="21" t="str">
        <f t="shared" si="625"/>
        <v/>
      </c>
      <c r="O545" s="21" t="str">
        <f t="shared" si="626"/>
        <v/>
      </c>
      <c r="P545" s="2"/>
      <c r="Q545" s="21"/>
      <c r="R545" s="78">
        <v>0.33333333333333331</v>
      </c>
      <c r="S545" s="78">
        <v>0.33333333333333331</v>
      </c>
      <c r="T545" s="1" t="str">
        <f>IF(Start!$B$6="Ja","",IF(((S545-R545)*24)&gt;=5.5,"X",""))</f>
        <v/>
      </c>
      <c r="U545" s="1" t="str">
        <f>IF(_xlfn.IFNA(MATCH($A$15,Start!$H$3:$H$11,0),0)&gt;0,"Ferie",(IF(L545="fri","Fri",(IF(L545="syk","Syk",IF(L545="Ferie","Ferie",IF(AND((S545-R545)=0,AB545=""),"",MAX((IF(T545="X",(S545-R545)*24-0.5,(S545-R545)*24)),AB545))))))))</f>
        <v/>
      </c>
      <c r="V545" s="58"/>
      <c r="W545" s="21" t="str">
        <f t="shared" si="627"/>
        <v/>
      </c>
      <c r="X545" s="21" t="str">
        <f t="shared" si="628"/>
        <v/>
      </c>
      <c r="Z545" s="70" t="str">
        <f>IF(SUMIFS(TrackingTime!H:H,TrackingTime!F:F,Timer!B545,TrackingTime!C:C,"Hovedkontoret")&gt;0,SUMIFS(TrackingTime!H:H,TrackingTime!F:F,Timer!B545,TrackingTime!C:C,"Hovedkontoret"),"")</f>
        <v/>
      </c>
      <c r="AA545" s="71" t="str">
        <f t="shared" si="607"/>
        <v/>
      </c>
      <c r="AB545" t="str">
        <f>IF(SUMIFS(TrackingTime!H:H,TrackingTime!F:F,Timer!B545,TrackingTime!C:C,Start!$F$3)&gt;0,SUMIFS(TrackingTime!H:H,TrackingTime!F:F,Timer!B545,TrackingTime!C:C,Start!$F$3),"")</f>
        <v/>
      </c>
      <c r="AC545" s="71" t="str">
        <f t="shared" si="611"/>
        <v/>
      </c>
    </row>
    <row r="546" spans="1:29" x14ac:dyDescent="0.25">
      <c r="A546" s="15"/>
      <c r="B546" s="63">
        <f t="shared" si="629"/>
        <v>46331</v>
      </c>
      <c r="C546" t="str">
        <f>IFERROR(IF(OR(L546="Fri",L546="Ferie",L546="Syk",L546="Omsorg",B546&lt;Start!$B$7),0,IF(IFERROR(MATCH(B546,Start!A$253:A$273,0),0)&gt;0,VLOOKUP(B546,Start!A$253:F$273,3,FALSE)/100*Start!$B$4,VLOOKUP(WEEKDAY(B546,2),Start!A$240:F$246,4,FALSE))),"")</f>
        <v/>
      </c>
      <c r="D546" t="str">
        <f>IFERROR(IF(OR(U546="Fri",U546="Ferie",U546="Syk",U546="Omsorg",B546&lt;Start!$F$7),0,IF(IFERROR(MATCH(B546,Start!A$253:A$273,0),0)&gt;0,VLOOKUP(B546,Start!A$253:F$273,3,FALSE)/100*Start!$F$4,VLOOKUP(WEEKDAY(B546,2),Start!A$240:F$246,6,FALSE))),"")</f>
        <v/>
      </c>
      <c r="E546">
        <f t="shared" ca="1" si="558"/>
        <v>0</v>
      </c>
      <c r="F546">
        <f>IFERROR(IF(YEAR(B546)=Start!$B$1,MONTH(B546),""),"")</f>
        <v>11</v>
      </c>
      <c r="G546" s="64" t="str">
        <f>IFERROR(VLOOKUP(B546,Start!A$111:B$273,2,FALSE),"")</f>
        <v/>
      </c>
      <c r="H546" s="21"/>
      <c r="I546" s="78">
        <v>0.33333333333333331</v>
      </c>
      <c r="J546" s="78">
        <v>0.33333333333333331</v>
      </c>
      <c r="K546" s="1" t="str">
        <f>IF(Start!$B$6="Ja","",IF(((J546-I546)*24)&gt;=5.5,"X",""))</f>
        <v/>
      </c>
      <c r="L546" s="1" t="str">
        <f>IF(_xlfn.IFNA(MATCH($A543,Start!$H$3:$H$11,0),0)&gt;0,"Ferie",IFERROR(IF(VLOOKUP(B546,Start!A$165:B$234,2,FALSE)&gt;0,"Fri",0),IF(AND((J546-I546)=0,Z546=""),"",MAX((IF(K546="X",(J546-I546)*24-0.5,(J546-I546)*24)),Z546))))</f>
        <v/>
      </c>
      <c r="M546" s="58"/>
      <c r="N546" s="21" t="str">
        <f t="shared" si="625"/>
        <v/>
      </c>
      <c r="O546" s="21" t="str">
        <f t="shared" si="626"/>
        <v/>
      </c>
      <c r="P546" s="2"/>
      <c r="Q546" s="21"/>
      <c r="R546" s="78">
        <v>0.33333333333333331</v>
      </c>
      <c r="S546" s="78">
        <v>0.33333333333333331</v>
      </c>
      <c r="T546" s="1" t="str">
        <f>IF(Start!$B$6="Ja","",IF(((S546-R546)*24)&gt;=5.5,"X",""))</f>
        <v/>
      </c>
      <c r="U546" s="1" t="str">
        <f>IF(_xlfn.IFNA(MATCH($A$15,Start!$H$3:$H$11,0),0)&gt;0,"Ferie",(IF(L546="fri","Fri",(IF(L546="syk","Syk",IF(L546="Ferie","Ferie",IF(AND((S546-R546)=0,AB546=""),"",MAX((IF(T546="X",(S546-R546)*24-0.5,(S546-R546)*24)),AB546))))))))</f>
        <v/>
      </c>
      <c r="V546" s="58"/>
      <c r="W546" s="21" t="str">
        <f t="shared" si="627"/>
        <v/>
      </c>
      <c r="X546" s="21" t="str">
        <f t="shared" si="628"/>
        <v/>
      </c>
      <c r="Z546" s="70" t="str">
        <f>IF(SUMIFS(TrackingTime!H:H,TrackingTime!F:F,Timer!B546,TrackingTime!C:C,"Hovedkontoret")&gt;0,SUMIFS(TrackingTime!H:H,TrackingTime!F:F,Timer!B546,TrackingTime!C:C,"Hovedkontoret"),"")</f>
        <v/>
      </c>
      <c r="AA546" s="71" t="str">
        <f t="shared" si="607"/>
        <v/>
      </c>
      <c r="AB546" t="str">
        <f>IF(SUMIFS(TrackingTime!H:H,TrackingTime!F:F,Timer!B546,TrackingTime!C:C,Start!$F$3)&gt;0,SUMIFS(TrackingTime!H:H,TrackingTime!F:F,Timer!B546,TrackingTime!C:C,Start!$F$3),"")</f>
        <v/>
      </c>
      <c r="AC546" s="71" t="str">
        <f t="shared" si="611"/>
        <v/>
      </c>
    </row>
    <row r="547" spans="1:29" x14ac:dyDescent="0.25">
      <c r="A547" s="15"/>
      <c r="B547" s="63">
        <f t="shared" si="629"/>
        <v>46332</v>
      </c>
      <c r="C547" t="str">
        <f>IFERROR(IF(OR(L547="Fri",L547="Ferie",L547="Syk",L547="Omsorg",B547&lt;Start!$B$7),0,IF(IFERROR(MATCH(B547,Start!A$253:A$273,0),0)&gt;0,VLOOKUP(B547,Start!A$253:F$273,3,FALSE)/100*Start!$B$4,VLOOKUP(WEEKDAY(B547,2),Start!A$240:F$246,4,FALSE))),"")</f>
        <v/>
      </c>
      <c r="D547" t="str">
        <f>IFERROR(IF(OR(U547="Fri",U547="Ferie",U547="Syk",U547="Omsorg",B547&lt;Start!$F$7),0,IF(IFERROR(MATCH(B547,Start!A$253:A$273,0),0)&gt;0,VLOOKUP(B547,Start!A$253:F$273,3,FALSE)/100*Start!$F$4,VLOOKUP(WEEKDAY(B547,2),Start!A$240:F$246,6,FALSE))),"")</f>
        <v/>
      </c>
      <c r="E547">
        <f t="shared" ca="1" si="558"/>
        <v>0</v>
      </c>
      <c r="F547">
        <f>IFERROR(IF(YEAR(B547)=Start!$B$1,MONTH(B547),""),"")</f>
        <v>11</v>
      </c>
      <c r="G547" s="64" t="str">
        <f>IFERROR(VLOOKUP(B547,Start!A$111:B$273,2,FALSE),"")</f>
        <v/>
      </c>
      <c r="H547" s="21"/>
      <c r="I547" s="78">
        <v>0.33333333333333331</v>
      </c>
      <c r="J547" s="78">
        <v>0.33333333333333331</v>
      </c>
      <c r="K547" s="1" t="str">
        <f>IF(Start!$B$6="Ja","",IF(((J547-I547)*24)&gt;=5.5,"X",""))</f>
        <v/>
      </c>
      <c r="L547" s="1" t="str">
        <f>IF(_xlfn.IFNA(MATCH($A543,Start!$H$3:$H$11,0),0)&gt;0,"Ferie",IFERROR(IF(VLOOKUP(B547,Start!A$165:B$234,2,FALSE)&gt;0,"Fri",0),IF(AND((J547-I547)=0,Z547=""),"",MAX((IF(K547="X",(J547-I547)*24-0.5,(J547-I547)*24)),Z547))))</f>
        <v/>
      </c>
      <c r="M547" s="58"/>
      <c r="N547" s="21" t="str">
        <f t="shared" si="625"/>
        <v/>
      </c>
      <c r="O547" s="21" t="str">
        <f t="shared" si="626"/>
        <v/>
      </c>
      <c r="P547" s="2"/>
      <c r="Q547" s="21"/>
      <c r="R547" s="78">
        <v>0.33333333333333331</v>
      </c>
      <c r="S547" s="78">
        <v>0.33333333333333331</v>
      </c>
      <c r="T547" s="1" t="str">
        <f>IF(Start!$B$6="Ja","",IF(((S547-R547)*24)&gt;=5.5,"X",""))</f>
        <v/>
      </c>
      <c r="U547" s="1" t="str">
        <f>IF(_xlfn.IFNA(MATCH($A$15,Start!$H$3:$H$11,0),0)&gt;0,"Ferie",(IF(L547="fri","Fri",(IF(L547="syk","Syk",IF(L547="Ferie","Ferie",IF(AND((S547-R547)=0,AB547=""),"",MAX((IF(T547="X",(S547-R547)*24-0.5,(S547-R547)*24)),AB547))))))))</f>
        <v/>
      </c>
      <c r="V547" s="58"/>
      <c r="W547" s="21" t="str">
        <f t="shared" si="627"/>
        <v/>
      </c>
      <c r="X547" s="21" t="str">
        <f t="shared" si="628"/>
        <v/>
      </c>
      <c r="Z547" s="70" t="str">
        <f>IF(SUMIFS(TrackingTime!H:H,TrackingTime!F:F,Timer!B547,TrackingTime!C:C,"Hovedkontoret")&gt;0,SUMIFS(TrackingTime!H:H,TrackingTime!F:F,Timer!B547,TrackingTime!C:C,"Hovedkontoret"),"")</f>
        <v/>
      </c>
      <c r="AA547" s="71" t="str">
        <f t="shared" si="607"/>
        <v/>
      </c>
      <c r="AB547" t="str">
        <f>IF(SUMIFS(TrackingTime!H:H,TrackingTime!F:F,Timer!B547,TrackingTime!C:C,Start!$F$3)&gt;0,SUMIFS(TrackingTime!H:H,TrackingTime!F:F,Timer!B547,TrackingTime!C:C,Start!$F$3),"")</f>
        <v/>
      </c>
      <c r="AC547" s="71" t="str">
        <f t="shared" si="611"/>
        <v/>
      </c>
    </row>
    <row r="548" spans="1:29" x14ac:dyDescent="0.25">
      <c r="A548" s="15"/>
      <c r="B548" s="63">
        <f t="shared" si="629"/>
        <v>46333</v>
      </c>
      <c r="C548">
        <f>IFERROR(IF(OR(L548="Fri",L548="Ferie",L548="Syk",L548="Omsorg",B548&lt;Start!$B$7),0,IF(IFERROR(MATCH(B548,Start!A$253:A$273,0),0)&gt;0,VLOOKUP(B548,Start!A$253:F$273,3,FALSE)/100*Start!$B$4,VLOOKUP(WEEKDAY(B548,2),Start!A$240:F$246,4,FALSE))),"")</f>
        <v>0</v>
      </c>
      <c r="D548">
        <f>IFERROR(IF(OR(U548="Fri",U548="Ferie",U548="Syk",U548="Omsorg",B548&lt;Start!$F$7),0,IF(IFERROR(MATCH(B548,Start!A$253:A$273,0),0)&gt;0,VLOOKUP(B548,Start!A$253:F$273,3,FALSE)/100*Start!$F$4,VLOOKUP(WEEKDAY(B548,2),Start!A$240:F$246,6,FALSE))),"")</f>
        <v>0</v>
      </c>
      <c r="E548">
        <f t="shared" ca="1" si="558"/>
        <v>0</v>
      </c>
      <c r="F548">
        <f>IFERROR(IF(YEAR(B548)=Start!$B$1,MONTH(B548),""),"")</f>
        <v>11</v>
      </c>
      <c r="G548" s="64" t="str">
        <f>IFERROR(VLOOKUP(B548,Start!A$111:B$273,2,FALSE),"")</f>
        <v/>
      </c>
      <c r="H548" s="21"/>
      <c r="I548" s="78">
        <v>0.41666666666666669</v>
      </c>
      <c r="J548" s="78">
        <v>0.41666666666666669</v>
      </c>
      <c r="K548" s="1" t="str">
        <f>IF(Start!$B$6="Ja","",IF(((J548-I548)*24)&gt;=5.5,"X",""))</f>
        <v/>
      </c>
      <c r="L548" s="1" t="str">
        <f t="shared" ref="L548:L549" si="630">IF(AND((J548-I548)=0,Z548=""),"",MAX((IF(K548="X",(J548-I548)*24-0.5,(J548-I548)*24)),Z548))</f>
        <v/>
      </c>
      <c r="M548" s="58"/>
      <c r="N548" s="21" t="str">
        <f t="shared" si="625"/>
        <v/>
      </c>
      <c r="O548" s="21" t="str">
        <f t="shared" si="626"/>
        <v/>
      </c>
      <c r="P548" s="2"/>
      <c r="Q548" s="21"/>
      <c r="R548" s="78">
        <v>0.41666666666666669</v>
      </c>
      <c r="S548" s="78">
        <v>0.41666666666666669</v>
      </c>
      <c r="T548" s="1" t="str">
        <f>IF(Start!$B$6="Ja","",IF(((S548-R548)*24)&gt;=5.5,"X",""))</f>
        <v/>
      </c>
      <c r="U548" s="1" t="str">
        <f t="shared" ref="U548:U549" si="631">IF(AND((S548-R548)=0,AB548=""),"",MAX((IF(T548="X",(S548-R548)*24-0.5,(S548-R548)*24)),AB548))</f>
        <v/>
      </c>
      <c r="V548" s="58"/>
      <c r="W548" s="21" t="str">
        <f t="shared" si="627"/>
        <v/>
      </c>
      <c r="X548" s="21" t="str">
        <f t="shared" si="628"/>
        <v/>
      </c>
      <c r="Z548" s="70" t="str">
        <f>IF(SUMIFS(TrackingTime!H:H,TrackingTime!F:F,Timer!B548,TrackingTime!C:C,"Hovedkontoret")&gt;0,SUMIFS(TrackingTime!H:H,TrackingTime!F:F,Timer!B548,TrackingTime!C:C,"Hovedkontoret"),"")</f>
        <v/>
      </c>
      <c r="AA548" s="71" t="str">
        <f t="shared" si="607"/>
        <v/>
      </c>
      <c r="AB548" t="str">
        <f>IF(SUMIFS(TrackingTime!H:H,TrackingTime!F:F,Timer!B548,TrackingTime!C:C,Start!$F$3)&gt;0,SUMIFS(TrackingTime!H:H,TrackingTime!F:F,Timer!B548,TrackingTime!C:C,Start!$F$3),"")</f>
        <v/>
      </c>
      <c r="AC548" s="71" t="str">
        <f t="shared" si="611"/>
        <v/>
      </c>
    </row>
    <row r="549" spans="1:29" x14ac:dyDescent="0.25">
      <c r="A549" s="15"/>
      <c r="B549" s="63">
        <f t="shared" si="629"/>
        <v>46334</v>
      </c>
      <c r="C549">
        <f>IFERROR(IF(OR(L549="Fri",L549="Ferie",L549="Syk",L549="Omsorg",B549&lt;Start!$B$7),0,IF(IFERROR(MATCH(B549,Start!A$253:A$273,0),0)&gt;0,VLOOKUP(B549,Start!A$253:F$273,3,FALSE)/100*Start!$B$4,VLOOKUP(WEEKDAY(B549,2),Start!A$240:F$246,4,FALSE))),"")</f>
        <v>0</v>
      </c>
      <c r="D549">
        <f>IFERROR(IF(OR(U549="Fri",U549="Ferie",U549="Syk",U549="Omsorg",B549&lt;Start!$F$7),0,IF(IFERROR(MATCH(B549,Start!A$253:A$273,0),0)&gt;0,VLOOKUP(B549,Start!A$253:F$273,3,FALSE)/100*Start!$F$4,VLOOKUP(WEEKDAY(B549,2),Start!A$240:F$246,6,FALSE))),"")</f>
        <v>0</v>
      </c>
      <c r="E549">
        <f t="shared" ca="1" si="558"/>
        <v>0</v>
      </c>
      <c r="F549">
        <f>IFERROR(IF(YEAR(B549)=Start!$B$1,MONTH(B549),""),"")</f>
        <v>11</v>
      </c>
      <c r="G549" s="64" t="str">
        <f>IFERROR(VLOOKUP(B549,Start!A$111:B$273,2,FALSE),"")</f>
        <v/>
      </c>
      <c r="H549" s="25"/>
      <c r="I549" s="78">
        <v>0.41666666666666669</v>
      </c>
      <c r="J549" s="78">
        <v>0.41666666666666669</v>
      </c>
      <c r="K549" s="1" t="str">
        <f>IF(Start!$B$6="Ja","",IF(((J549-I549)*24)&gt;=5.5,"X",""))</f>
        <v/>
      </c>
      <c r="L549" s="1" t="str">
        <f t="shared" si="630"/>
        <v/>
      </c>
      <c r="M549" s="58"/>
      <c r="N549" s="21" t="str">
        <f t="shared" si="625"/>
        <v/>
      </c>
      <c r="O549" s="21" t="str">
        <f t="shared" si="626"/>
        <v/>
      </c>
      <c r="Q549" s="25"/>
      <c r="R549" s="78">
        <v>0.41666666666666669</v>
      </c>
      <c r="S549" s="78">
        <v>0.41666666666666669</v>
      </c>
      <c r="T549" s="1" t="str">
        <f>IF(Start!$B$6="Ja","",IF(((S549-R549)*24)&gt;=5.5,"X",""))</f>
        <v/>
      </c>
      <c r="U549" s="1" t="str">
        <f t="shared" si="631"/>
        <v/>
      </c>
      <c r="V549" s="58"/>
      <c r="W549" s="21" t="str">
        <f t="shared" si="627"/>
        <v/>
      </c>
      <c r="X549" s="21" t="str">
        <f t="shared" si="628"/>
        <v/>
      </c>
      <c r="Z549" s="70" t="str">
        <f>IF(SUMIFS(TrackingTime!H:H,TrackingTime!F:F,Timer!B549,TrackingTime!C:C,"Hovedkontoret")&gt;0,SUMIFS(TrackingTime!H:H,TrackingTime!F:F,Timer!B549,TrackingTime!C:C,"Hovedkontoret"),"")</f>
        <v/>
      </c>
      <c r="AA549" s="71" t="str">
        <f t="shared" si="607"/>
        <v/>
      </c>
      <c r="AB549" t="str">
        <f>IF(SUMIFS(TrackingTime!H:H,TrackingTime!F:F,Timer!B549,TrackingTime!C:C,Start!$F$3)&gt;0,SUMIFS(TrackingTime!H:H,TrackingTime!F:F,Timer!B549,TrackingTime!C:C,Start!$F$3),"")</f>
        <v/>
      </c>
      <c r="AC549" s="71" t="str">
        <f t="shared" si="611"/>
        <v/>
      </c>
    </row>
    <row r="550" spans="1:29" x14ac:dyDescent="0.25">
      <c r="A550" s="15"/>
      <c r="B550" s="4" t="s">
        <v>11</v>
      </c>
      <c r="C550" s="24"/>
      <c r="D550" s="24"/>
      <c r="E550" s="24">
        <f t="shared" ref="E550:E613" ca="1" si="632">IF(B550&gt;TODAY(),0,1)</f>
        <v>0</v>
      </c>
      <c r="F550" s="24" t="str">
        <f>IFERROR(IF(YEAR(B550)=Start!$B$1,MONTH(B550),""),"")</f>
        <v/>
      </c>
      <c r="G550" s="64" t="str">
        <f>IFERROR(VLOOKUP(B550,Start!A$111:B$273,2,FALSE),"")</f>
        <v/>
      </c>
      <c r="H550" s="4"/>
      <c r="I550" s="4"/>
      <c r="J550" s="4"/>
      <c r="K550" s="4"/>
      <c r="L550" s="5">
        <f t="shared" si="600"/>
        <v>0</v>
      </c>
      <c r="N550" s="24"/>
      <c r="O550" s="39">
        <f t="shared" ref="O550" si="633">SUM(O543:O549)</f>
        <v>0</v>
      </c>
      <c r="P550" s="40"/>
      <c r="Q550" s="41"/>
      <c r="R550" s="4"/>
      <c r="S550" s="4"/>
      <c r="T550" s="4"/>
      <c r="U550" s="5">
        <f t="shared" ref="U550" si="634">SUM($U543:$U549)</f>
        <v>0</v>
      </c>
      <c r="V550" s="58"/>
      <c r="W550" s="39"/>
      <c r="X550" s="39">
        <f t="shared" si="603"/>
        <v>0</v>
      </c>
      <c r="Z550" s="70" t="str">
        <f>IF(SUMIFS(TrackingTime!H:H,TrackingTime!F:F,Timer!B550,TrackingTime!C:C,"Hovedkontoret")&gt;0,SUMIFS(TrackingTime!H:H,TrackingTime!F:F,Timer!B550,TrackingTime!C:C,"Hovedkontoret"),"")</f>
        <v/>
      </c>
      <c r="AA550" s="71" t="str">
        <f t="shared" si="607"/>
        <v/>
      </c>
      <c r="AB550" t="str">
        <f>IF(SUMIFS(TrackingTime!H:H,TrackingTime!F:F,Timer!B550,TrackingTime!C:C,Start!$F$3)&gt;0,SUMIFS(TrackingTime!H:H,TrackingTime!F:F,Timer!B550,TrackingTime!C:C,Start!$F$3),"")</f>
        <v/>
      </c>
      <c r="AC550" s="71" t="str">
        <f t="shared" si="611"/>
        <v/>
      </c>
    </row>
    <row r="551" spans="1:29" x14ac:dyDescent="0.25">
      <c r="A551" s="15"/>
      <c r="B551" t="s">
        <v>90</v>
      </c>
      <c r="E551">
        <f t="shared" ca="1" si="632"/>
        <v>0</v>
      </c>
      <c r="F551" t="str">
        <f>IFERROR(IF(YEAR(B551)=Start!$B$1,MONTH(B551),""),"")</f>
        <v/>
      </c>
      <c r="G551" s="64" t="str">
        <f>IFERROR(VLOOKUP(B551,Start!A$111:B$273,2,FALSE),"")</f>
        <v/>
      </c>
      <c r="L551" s="1">
        <f t="shared" si="604"/>
        <v>0</v>
      </c>
      <c r="M551" s="1"/>
      <c r="N551" s="1"/>
      <c r="O551" s="21">
        <f t="shared" ref="O551" si="635">L551</f>
        <v>0</v>
      </c>
      <c r="P551" s="40"/>
      <c r="Q551" s="21"/>
      <c r="U551" s="1">
        <f t="shared" ref="U551" si="636">SUMIFS(D543:D549,F543:F549,"&gt;0")</f>
        <v>0</v>
      </c>
      <c r="V551" s="1"/>
      <c r="W551" s="1"/>
      <c r="X551" s="21">
        <f>U551</f>
        <v>0</v>
      </c>
      <c r="Z551" s="70" t="str">
        <f>IF(SUMIFS(TrackingTime!H:H,TrackingTime!F:F,Timer!B551,TrackingTime!C:C,"Hovedkontoret")&gt;0,SUMIFS(TrackingTime!H:H,TrackingTime!F:F,Timer!B551,TrackingTime!C:C,"Hovedkontoret"),"")</f>
        <v/>
      </c>
      <c r="AA551" s="71" t="str">
        <f t="shared" si="607"/>
        <v/>
      </c>
      <c r="AB551" t="str">
        <f>IF(SUMIFS(TrackingTime!H:H,TrackingTime!F:F,Timer!B551,TrackingTime!C:C,Start!$F$3)&gt;0,SUMIFS(TrackingTime!H:H,TrackingTime!F:F,Timer!B551,TrackingTime!C:C,Start!$F$3),"")</f>
        <v/>
      </c>
      <c r="AC551" s="71" t="str">
        <f t="shared" si="611"/>
        <v/>
      </c>
    </row>
    <row r="552" spans="1:29" x14ac:dyDescent="0.25">
      <c r="A552" s="16">
        <f>B549-B543-1</f>
        <v>5</v>
      </c>
      <c r="B552" t="s">
        <v>117</v>
      </c>
      <c r="E552">
        <f t="shared" ca="1" si="632"/>
        <v>0</v>
      </c>
      <c r="F552" t="str">
        <f>IFERROR(IF(YEAR(B552)=Start!$B$1,MONTH(B552),""),"")</f>
        <v/>
      </c>
      <c r="G552" s="64" t="str">
        <f>IFERROR(VLOOKUP(B552,Start!A$111:B$273,2,FALSE),"")</f>
        <v/>
      </c>
      <c r="L552" s="77">
        <f t="shared" ca="1" si="608"/>
        <v>0</v>
      </c>
      <c r="O552" s="21">
        <f t="shared" ref="O552" si="637">O550-O551</f>
        <v>0</v>
      </c>
      <c r="P552" s="21"/>
      <c r="Q552" s="21"/>
      <c r="U552" s="1">
        <f t="shared" ref="U552" ca="1" si="638">U550-U551*(IF(NETWORKDAYS($B543,TODAY())&lt;0,0,IF(NETWORKDAYS($B543,TODAY())&lt;=$A552,NETWORKDAYS($B543,TODAY()),$A552)))/$A552</f>
        <v>0</v>
      </c>
      <c r="V552" s="58"/>
      <c r="W552" s="21"/>
      <c r="X552" s="21">
        <f>X550-X551</f>
        <v>0</v>
      </c>
      <c r="Z552" s="70" t="str">
        <f>IF(SUMIFS(TrackingTime!H:H,TrackingTime!F:F,Timer!B552,TrackingTime!C:C,"Hovedkontoret")&gt;0,SUMIFS(TrackingTime!H:H,TrackingTime!F:F,Timer!B552,TrackingTime!C:C,"Hovedkontoret"),"")</f>
        <v/>
      </c>
      <c r="AA552" s="71" t="str">
        <f t="shared" si="607"/>
        <v/>
      </c>
      <c r="AB552" t="str">
        <f>IF(SUMIFS(TrackingTime!H:H,TrackingTime!F:F,Timer!B552,TrackingTime!C:C,Start!$F$3)&gt;0,SUMIFS(TrackingTime!H:H,TrackingTime!F:F,Timer!B552,TrackingTime!C:C,Start!$F$3),"")</f>
        <v/>
      </c>
      <c r="AC552" s="71" t="str">
        <f t="shared" si="611"/>
        <v/>
      </c>
    </row>
    <row r="553" spans="1:29" x14ac:dyDescent="0.25">
      <c r="A553" s="15"/>
      <c r="E553">
        <f t="shared" ca="1" si="632"/>
        <v>1</v>
      </c>
      <c r="F553" t="str">
        <f>IFERROR(IF(YEAR(B553)=Start!$B$1,MONTH(B553),""),"")</f>
        <v/>
      </c>
      <c r="G553" s="64" t="str">
        <f>IFERROR(VLOOKUP(B553,Start!A$111:B$273,2,FALSE),"")</f>
        <v/>
      </c>
      <c r="O553" s="2"/>
      <c r="P553" s="2"/>
      <c r="U553" s="1"/>
      <c r="V553" s="7"/>
      <c r="X553" s="2"/>
      <c r="Z553" s="70" t="str">
        <f>IF(SUMIFS(TrackingTime!H:H,TrackingTime!F:F,Timer!B553,TrackingTime!C:C,"Hovedkontoret")&gt;0,SUMIFS(TrackingTime!H:H,TrackingTime!F:F,Timer!B553,TrackingTime!C:C,"Hovedkontoret"),"")</f>
        <v/>
      </c>
      <c r="AA553" s="71" t="str">
        <f t="shared" si="607"/>
        <v/>
      </c>
      <c r="AB553" t="str">
        <f>IF(SUMIFS(TrackingTime!H:H,TrackingTime!F:F,Timer!B553,TrackingTime!C:C,Start!$F$3)&gt;0,SUMIFS(TrackingTime!H:H,TrackingTime!F:F,Timer!B553,TrackingTime!C:C,Start!$F$3),"")</f>
        <v/>
      </c>
      <c r="AC553" s="71" t="str">
        <f t="shared" si="611"/>
        <v/>
      </c>
    </row>
    <row r="554" spans="1:29" x14ac:dyDescent="0.25">
      <c r="A554" s="2" t="s">
        <v>82</v>
      </c>
      <c r="B554" s="14" t="s">
        <v>83</v>
      </c>
      <c r="E554">
        <f t="shared" ca="1" si="632"/>
        <v>0</v>
      </c>
      <c r="F554" t="str">
        <f>IFERROR(IF(YEAR(B554)=Start!$B$1,MONTH(B554),""),"")</f>
        <v/>
      </c>
      <c r="G554" s="64" t="str">
        <f>IFERROR(VLOOKUP(B554,Start!A$111:B$273,2,FALSE),"")</f>
        <v/>
      </c>
      <c r="H554" s="2" t="s">
        <v>86</v>
      </c>
      <c r="I554" s="2" t="s">
        <v>125</v>
      </c>
      <c r="J554" s="2" t="s">
        <v>126</v>
      </c>
      <c r="K554" s="2" t="s">
        <v>127</v>
      </c>
      <c r="L554" s="3" t="s">
        <v>87</v>
      </c>
      <c r="M554" s="6"/>
      <c r="N554" s="2" t="s">
        <v>88</v>
      </c>
      <c r="O554" s="2" t="s">
        <v>89</v>
      </c>
      <c r="P554" s="2"/>
      <c r="Q554" s="2" t="s">
        <v>86</v>
      </c>
      <c r="R554" s="2" t="s">
        <v>125</v>
      </c>
      <c r="S554" s="2" t="s">
        <v>126</v>
      </c>
      <c r="T554" s="2" t="s">
        <v>127</v>
      </c>
      <c r="U554" s="3" t="s">
        <v>87</v>
      </c>
      <c r="V554" s="6"/>
      <c r="W554" s="2" t="s">
        <v>88</v>
      </c>
      <c r="X554" s="2" t="s">
        <v>89</v>
      </c>
      <c r="Z554" s="70" t="str">
        <f>IF(SUMIFS(TrackingTime!H:H,TrackingTime!F:F,Timer!B554,TrackingTime!C:C,"Hovedkontoret")&gt;0,SUMIFS(TrackingTime!H:H,TrackingTime!F:F,Timer!B554,TrackingTime!C:C,"Hovedkontoret"),"")</f>
        <v/>
      </c>
      <c r="AA554" s="71" t="str">
        <f t="shared" si="607"/>
        <v/>
      </c>
      <c r="AB554" t="str">
        <f>IF(SUMIFS(TrackingTime!H:H,TrackingTime!F:F,Timer!B554,TrackingTime!C:C,Start!$F$3)&gt;0,SUMIFS(TrackingTime!H:H,TrackingTime!F:F,Timer!B554,TrackingTime!C:C,Start!$F$3),"")</f>
        <v/>
      </c>
      <c r="AC554" s="71" t="str">
        <f t="shared" si="611"/>
        <v/>
      </c>
    </row>
    <row r="555" spans="1:29" x14ac:dyDescent="0.25">
      <c r="A555" s="15">
        <f>WEEKNUM(B555,21)</f>
        <v>46</v>
      </c>
      <c r="B555" s="63">
        <f>B549+(DAY(1))</f>
        <v>46335</v>
      </c>
      <c r="C555" t="str">
        <f>IFERROR(IF(OR(L555="Fri",L555="Ferie",L555="Syk",L555="Omsorg",B555&lt;Start!$B$7),0,IF(IFERROR(MATCH(B555,Start!A$253:A$273,0),0)&gt;0,VLOOKUP(B555,Start!A$253:F$273,3,FALSE)/100*Start!$B$4,VLOOKUP(WEEKDAY(B555,2),Start!A$240:F$246,4,FALSE))),"")</f>
        <v/>
      </c>
      <c r="D555" t="str">
        <f>IFERROR(IF(OR(U555="Fri",U555="Ferie",U555="Syk",U555="Omsorg",B555&lt;Start!$F$7),0,IF(IFERROR(MATCH(B555,Start!A$253:A$273,0),0)&gt;0,VLOOKUP(B555,Start!A$253:F$273,3,FALSE)/100*Start!$F$4,VLOOKUP(WEEKDAY(B555,2),Start!A$240:F$246,6,FALSE))),"")</f>
        <v/>
      </c>
      <c r="E555">
        <f t="shared" ca="1" si="632"/>
        <v>0</v>
      </c>
      <c r="F555">
        <f>IFERROR(IF(YEAR(B555)=Start!$B$1,MONTH(B555),""),"")</f>
        <v>11</v>
      </c>
      <c r="G555" s="64" t="str">
        <f>IFERROR(VLOOKUP(B555,Start!A$111:B$273,2,FALSE),"")</f>
        <v/>
      </c>
      <c r="H555" s="21"/>
      <c r="I555" s="78">
        <v>0.33333333333333331</v>
      </c>
      <c r="J555" s="78">
        <v>0.33333333333333331</v>
      </c>
      <c r="K555" s="1" t="str">
        <f>IF(Start!$B$6="Ja","",IF(((J555-I555)*24)&gt;=5.5,"X",""))</f>
        <v/>
      </c>
      <c r="L555" s="1" t="str">
        <f>IF(_xlfn.IFNA(MATCH($A555,Start!$H$3:$H$11,0),0)&gt;0,"Ferie",IFERROR(IF(VLOOKUP(B555,Start!A$165:B$234,2,FALSE)&gt;0,"Fri",0),IF(AND((J555-I555)=0,Z555=""),"",MAX((IF(K555="X",(J555-I555)*24-0.5,(J555-I555)*24)),Z555))))</f>
        <v/>
      </c>
      <c r="M555" s="58"/>
      <c r="N555" s="21" t="str">
        <f t="shared" ref="N555:N561" si="639">IF(H555=0,"",H555)</f>
        <v/>
      </c>
      <c r="O555" s="21" t="str">
        <f t="shared" ref="O555:O561" si="640">IF(L555=0,"",L555)</f>
        <v/>
      </c>
      <c r="P555" s="2"/>
      <c r="Q555" s="21"/>
      <c r="R555" s="78">
        <v>0.33333333333333331</v>
      </c>
      <c r="S555" s="78">
        <v>0.33333333333333331</v>
      </c>
      <c r="T555" s="1" t="str">
        <f>IF(Start!$B$6="Ja","",IF(((S555-R555)*24)&gt;=5.5,"X",""))</f>
        <v/>
      </c>
      <c r="U555" s="1" t="str">
        <f>IF(_xlfn.IFNA(MATCH($A$15,Start!$H$3:$H$11,0),0)&gt;0,"Ferie",(IF(L555="fri","Fri",(IF(L555="syk","Syk",IF(L555="Ferie","Ferie",IF(AND((S555-R555)=0,AB555=""),"",MAX((IF(T555="X",(S555-R555)*24-0.5,(S555-R555)*24)),AB555))))))))</f>
        <v/>
      </c>
      <c r="V555" s="58"/>
      <c r="W555" s="21" t="str">
        <f t="shared" ref="W555:W561" si="641">IF(Q555=0,"",Q555)</f>
        <v/>
      </c>
      <c r="X555" s="21" t="str">
        <f t="shared" ref="X555:X561" si="642">IF(U555=0,"",U555)</f>
        <v/>
      </c>
      <c r="Z555" s="70" t="str">
        <f>IF(SUMIFS(TrackingTime!H:H,TrackingTime!F:F,Timer!B555,TrackingTime!C:C,"Hovedkontoret")&gt;0,SUMIFS(TrackingTime!H:H,TrackingTime!F:F,Timer!B555,TrackingTime!C:C,"Hovedkontoret"),"")</f>
        <v/>
      </c>
      <c r="AA555" s="71" t="str">
        <f t="shared" si="607"/>
        <v/>
      </c>
      <c r="AB555" t="str">
        <f>IF(SUMIFS(TrackingTime!H:H,TrackingTime!F:F,Timer!B555,TrackingTime!C:C,Start!$F$3)&gt;0,SUMIFS(TrackingTime!H:H,TrackingTime!F:F,Timer!B555,TrackingTime!C:C,Start!$F$3),"")</f>
        <v/>
      </c>
      <c r="AC555" s="71" t="str">
        <f t="shared" si="611"/>
        <v/>
      </c>
    </row>
    <row r="556" spans="1:29" x14ac:dyDescent="0.25">
      <c r="A556" s="15"/>
      <c r="B556" s="63">
        <f t="shared" ref="B556:B561" si="643">B555+DAY(1)</f>
        <v>46336</v>
      </c>
      <c r="C556" t="str">
        <f>IFERROR(IF(OR(L556="Fri",L556="Ferie",L556="Syk",L556="Omsorg",B556&lt;Start!$B$7),0,IF(IFERROR(MATCH(B556,Start!A$253:A$273,0),0)&gt;0,VLOOKUP(B556,Start!A$253:F$273,3,FALSE)/100*Start!$B$4,VLOOKUP(WEEKDAY(B556,2),Start!A$240:F$246,4,FALSE))),"")</f>
        <v/>
      </c>
      <c r="D556" t="str">
        <f>IFERROR(IF(OR(U556="Fri",U556="Ferie",U556="Syk",U556="Omsorg",B556&lt;Start!$F$7),0,IF(IFERROR(MATCH(B556,Start!A$253:A$273,0),0)&gt;0,VLOOKUP(B556,Start!A$253:F$273,3,FALSE)/100*Start!$F$4,VLOOKUP(WEEKDAY(B556,2),Start!A$240:F$246,6,FALSE))),"")</f>
        <v/>
      </c>
      <c r="E556">
        <f t="shared" ca="1" si="632"/>
        <v>0</v>
      </c>
      <c r="F556">
        <f>IFERROR(IF(YEAR(B556)=Start!$B$1,MONTH(B556),""),"")</f>
        <v>11</v>
      </c>
      <c r="G556" s="64" t="str">
        <f>IFERROR(VLOOKUP(B556,Start!A$111:B$273,2,FALSE),"")</f>
        <v/>
      </c>
      <c r="H556" s="21"/>
      <c r="I556" s="78">
        <v>0.33333333333333331</v>
      </c>
      <c r="J556" s="78">
        <v>0.33333333333333331</v>
      </c>
      <c r="K556" s="1" t="str">
        <f>IF(Start!$B$6="Ja","",IF(((J556-I556)*24)&gt;=5.5,"X",""))</f>
        <v/>
      </c>
      <c r="L556" s="1" t="str">
        <f>IF(_xlfn.IFNA(MATCH($A555,Start!$H$3:$H$11,0),0)&gt;0,"Ferie",IFERROR(IF(VLOOKUP($B556,Start!$A$165:$B$234,2,FALSE)&gt;0,"Fri",0),IF(AND((J556-I556)=0,Z556=""),"",MAX((IF(K556="X",(J556-I556)*24-0.5,(J556-I556)*24)),Z556))))</f>
        <v/>
      </c>
      <c r="M556" s="58"/>
      <c r="N556" s="21" t="str">
        <f t="shared" si="639"/>
        <v/>
      </c>
      <c r="O556" s="21" t="str">
        <f t="shared" si="640"/>
        <v/>
      </c>
      <c r="P556" s="2"/>
      <c r="Q556" s="21"/>
      <c r="R556" s="78">
        <v>0.33333333333333331</v>
      </c>
      <c r="S556" s="78">
        <v>0.33333333333333331</v>
      </c>
      <c r="T556" s="1" t="str">
        <f>IF(Start!$B$6="Ja","",IF(((S556-R556)*24)&gt;=5.5,"X",""))</f>
        <v/>
      </c>
      <c r="U556" s="1" t="str">
        <f>IF(_xlfn.IFNA(MATCH($A$15,Start!$H$3:$H$11,0),0)&gt;0,"Ferie",(IF(L556="fri","Fri",(IF(L556="syk","Syk",IF(L556="Ferie","Ferie",IF(AND((S556-R556)=0,AB556=""),"",MAX((IF(T556="X",(S556-R556)*24-0.5,(S556-R556)*24)),AB556))))))))</f>
        <v/>
      </c>
      <c r="V556" s="58"/>
      <c r="W556" s="21" t="str">
        <f t="shared" si="641"/>
        <v/>
      </c>
      <c r="X556" s="21" t="str">
        <f t="shared" si="642"/>
        <v/>
      </c>
      <c r="Z556" s="70" t="str">
        <f>IF(SUMIFS(TrackingTime!H:H,TrackingTime!F:F,Timer!B556,TrackingTime!C:C,"Hovedkontoret")&gt;0,SUMIFS(TrackingTime!H:H,TrackingTime!F:F,Timer!B556,TrackingTime!C:C,"Hovedkontoret"),"")</f>
        <v/>
      </c>
      <c r="AA556" s="71" t="str">
        <f t="shared" si="607"/>
        <v/>
      </c>
      <c r="AB556" t="str">
        <f>IF(SUMIFS(TrackingTime!H:H,TrackingTime!F:F,Timer!B556,TrackingTime!C:C,Start!$F$3)&gt;0,SUMIFS(TrackingTime!H:H,TrackingTime!F:F,Timer!B556,TrackingTime!C:C,Start!$F$3),"")</f>
        <v/>
      </c>
      <c r="AC556" s="71" t="str">
        <f t="shared" si="611"/>
        <v/>
      </c>
    </row>
    <row r="557" spans="1:29" x14ac:dyDescent="0.25">
      <c r="A557" s="15"/>
      <c r="B557" s="63">
        <f t="shared" si="643"/>
        <v>46337</v>
      </c>
      <c r="C557" t="str">
        <f>IFERROR(IF(OR(L557="Fri",L557="Ferie",L557="Syk",L557="Omsorg",B557&lt;Start!$B$7),0,IF(IFERROR(MATCH(B557,Start!A$253:A$273,0),0)&gt;0,VLOOKUP(B557,Start!A$253:F$273,3,FALSE)/100*Start!$B$4,VLOOKUP(WEEKDAY(B557,2),Start!A$240:F$246,4,FALSE))),"")</f>
        <v/>
      </c>
      <c r="D557" t="str">
        <f>IFERROR(IF(OR(U557="Fri",U557="Ferie",U557="Syk",U557="Omsorg",B557&lt;Start!$F$7),0,IF(IFERROR(MATCH(B557,Start!A$253:A$273,0),0)&gt;0,VLOOKUP(B557,Start!A$253:F$273,3,FALSE)/100*Start!$F$4,VLOOKUP(WEEKDAY(B557,2),Start!A$240:F$246,6,FALSE))),"")</f>
        <v/>
      </c>
      <c r="E557">
        <f t="shared" ca="1" si="632"/>
        <v>0</v>
      </c>
      <c r="F557">
        <f>IFERROR(IF(YEAR(B557)=Start!$B$1,MONTH(B557),""),"")</f>
        <v>11</v>
      </c>
      <c r="G557" s="64" t="str">
        <f>IFERROR(VLOOKUP(B557,Start!A$111:B$273,2,FALSE),"")</f>
        <v/>
      </c>
      <c r="H557" s="21"/>
      <c r="I557" s="78">
        <v>0.33333333333333331</v>
      </c>
      <c r="J557" s="78">
        <v>0.33333333333333331</v>
      </c>
      <c r="K557" s="1" t="str">
        <f>IF(Start!$B$6="Ja","",IF(((J557-I557)*24)&gt;=5.5,"X",""))</f>
        <v/>
      </c>
      <c r="L557" s="1" t="str">
        <f>IF(_xlfn.IFNA(MATCH($A555,Start!$H$3:$H$11,0),0)&gt;0,"Ferie",IFERROR(IF(VLOOKUP(B557,Start!A$165:B$234,2,FALSE)&gt;0,"Fri",0),IF(AND((J557-I557)=0,Z557=""),"",MAX((IF(K557="X",(J557-I557)*24-0.5,(J557-I557)*24)),Z557))))</f>
        <v/>
      </c>
      <c r="M557" s="58"/>
      <c r="N557" s="21" t="str">
        <f t="shared" si="639"/>
        <v/>
      </c>
      <c r="O557" s="21" t="str">
        <f t="shared" si="640"/>
        <v/>
      </c>
      <c r="P557" s="2"/>
      <c r="Q557" s="21"/>
      <c r="R557" s="78">
        <v>0.33333333333333331</v>
      </c>
      <c r="S557" s="78">
        <v>0.33333333333333331</v>
      </c>
      <c r="T557" s="1" t="str">
        <f>IF(Start!$B$6="Ja","",IF(((S557-R557)*24)&gt;=5.5,"X",""))</f>
        <v/>
      </c>
      <c r="U557" s="1" t="str">
        <f>IF(_xlfn.IFNA(MATCH($A$15,Start!$H$3:$H$11,0),0)&gt;0,"Ferie",(IF(L557="fri","Fri",(IF(L557="syk","Syk",IF(L557="Ferie","Ferie",IF(AND((S557-R557)=0,AB557=""),"",MAX((IF(T557="X",(S557-R557)*24-0.5,(S557-R557)*24)),AB557))))))))</f>
        <v/>
      </c>
      <c r="V557" s="58"/>
      <c r="W557" s="21" t="str">
        <f t="shared" si="641"/>
        <v/>
      </c>
      <c r="X557" s="21" t="str">
        <f t="shared" si="642"/>
        <v/>
      </c>
      <c r="Z557" s="70" t="str">
        <f>IF(SUMIFS(TrackingTime!H:H,TrackingTime!F:F,Timer!B557,TrackingTime!C:C,"Hovedkontoret")&gt;0,SUMIFS(TrackingTime!H:H,TrackingTime!F:F,Timer!B557,TrackingTime!C:C,"Hovedkontoret"),"")</f>
        <v/>
      </c>
      <c r="AA557" s="71" t="str">
        <f t="shared" si="607"/>
        <v/>
      </c>
      <c r="AB557" t="str">
        <f>IF(SUMIFS(TrackingTime!H:H,TrackingTime!F:F,Timer!B557,TrackingTime!C:C,Start!$F$3)&gt;0,SUMIFS(TrackingTime!H:H,TrackingTime!F:F,Timer!B557,TrackingTime!C:C,Start!$F$3),"")</f>
        <v/>
      </c>
      <c r="AC557" s="71" t="str">
        <f t="shared" si="611"/>
        <v/>
      </c>
    </row>
    <row r="558" spans="1:29" x14ac:dyDescent="0.25">
      <c r="A558" s="15"/>
      <c r="B558" s="63">
        <f t="shared" si="643"/>
        <v>46338</v>
      </c>
      <c r="C558" t="str">
        <f>IFERROR(IF(OR(L558="Fri",L558="Ferie",L558="Syk",L558="Omsorg",B558&lt;Start!$B$7),0,IF(IFERROR(MATCH(B558,Start!A$253:A$273,0),0)&gt;0,VLOOKUP(B558,Start!A$253:F$273,3,FALSE)/100*Start!$B$4,VLOOKUP(WEEKDAY(B558,2),Start!A$240:F$246,4,FALSE))),"")</f>
        <v/>
      </c>
      <c r="D558" t="str">
        <f>IFERROR(IF(OR(U558="Fri",U558="Ferie",U558="Syk",U558="Omsorg",B558&lt;Start!$F$7),0,IF(IFERROR(MATCH(B558,Start!A$253:A$273,0),0)&gt;0,VLOOKUP(B558,Start!A$253:F$273,3,FALSE)/100*Start!$F$4,VLOOKUP(WEEKDAY(B558,2),Start!A$240:F$246,6,FALSE))),"")</f>
        <v/>
      </c>
      <c r="E558">
        <f t="shared" ca="1" si="632"/>
        <v>0</v>
      </c>
      <c r="F558">
        <f>IFERROR(IF(YEAR(B558)=Start!$B$1,MONTH(B558),""),"")</f>
        <v>11</v>
      </c>
      <c r="G558" s="64" t="str">
        <f>IFERROR(VLOOKUP(B558,Start!A$111:B$273,2,FALSE),"")</f>
        <v/>
      </c>
      <c r="H558" s="21"/>
      <c r="I558" s="78">
        <v>0.33333333333333331</v>
      </c>
      <c r="J558" s="78">
        <v>0.33333333333333331</v>
      </c>
      <c r="K558" s="1" t="str">
        <f>IF(Start!$B$6="Ja","",IF(((J558-I558)*24)&gt;=5.5,"X",""))</f>
        <v/>
      </c>
      <c r="L558" s="1" t="str">
        <f>IF(_xlfn.IFNA(MATCH($A555,Start!$H$3:$H$11,0),0)&gt;0,"Ferie",IFERROR(IF(VLOOKUP(B558,Start!A$165:B$234,2,FALSE)&gt;0,"Fri",0),IF(AND((J558-I558)=0,Z558=""),"",MAX((IF(K558="X",(J558-I558)*24-0.5,(J558-I558)*24)),Z558))))</f>
        <v/>
      </c>
      <c r="M558" s="58"/>
      <c r="N558" s="21" t="str">
        <f t="shared" si="639"/>
        <v/>
      </c>
      <c r="O558" s="21" t="str">
        <f t="shared" si="640"/>
        <v/>
      </c>
      <c r="P558" s="2"/>
      <c r="Q558" s="21"/>
      <c r="R558" s="78">
        <v>0.33333333333333331</v>
      </c>
      <c r="S558" s="78">
        <v>0.33333333333333331</v>
      </c>
      <c r="T558" s="1" t="str">
        <f>IF(Start!$B$6="Ja","",IF(((S558-R558)*24)&gt;=5.5,"X",""))</f>
        <v/>
      </c>
      <c r="U558" s="1" t="str">
        <f>IF(_xlfn.IFNA(MATCH($A$15,Start!$H$3:$H$11,0),0)&gt;0,"Ferie",(IF(L558="fri","Fri",(IF(L558="syk","Syk",IF(L558="Ferie","Ferie",IF(AND((S558-R558)=0,AB558=""),"",MAX((IF(T558="X",(S558-R558)*24-0.5,(S558-R558)*24)),AB558))))))))</f>
        <v/>
      </c>
      <c r="V558" s="58"/>
      <c r="W558" s="21" t="str">
        <f t="shared" si="641"/>
        <v/>
      </c>
      <c r="X558" s="21" t="str">
        <f t="shared" si="642"/>
        <v/>
      </c>
      <c r="Z558" s="70" t="str">
        <f>IF(SUMIFS(TrackingTime!H:H,TrackingTime!F:F,Timer!B558,TrackingTime!C:C,"Hovedkontoret")&gt;0,SUMIFS(TrackingTime!H:H,TrackingTime!F:F,Timer!B558,TrackingTime!C:C,"Hovedkontoret"),"")</f>
        <v/>
      </c>
      <c r="AA558" s="71" t="str">
        <f t="shared" si="607"/>
        <v/>
      </c>
      <c r="AB558" t="str">
        <f>IF(SUMIFS(TrackingTime!H:H,TrackingTime!F:F,Timer!B558,TrackingTime!C:C,Start!$F$3)&gt;0,SUMIFS(TrackingTime!H:H,TrackingTime!F:F,Timer!B558,TrackingTime!C:C,Start!$F$3),"")</f>
        <v/>
      </c>
      <c r="AC558" s="71" t="str">
        <f t="shared" si="611"/>
        <v/>
      </c>
    </row>
    <row r="559" spans="1:29" x14ac:dyDescent="0.25">
      <c r="A559" s="15"/>
      <c r="B559" s="63">
        <f t="shared" si="643"/>
        <v>46339</v>
      </c>
      <c r="C559" t="str">
        <f>IFERROR(IF(OR(L559="Fri",L559="Ferie",L559="Syk",L559="Omsorg",B559&lt;Start!$B$7),0,IF(IFERROR(MATCH(B559,Start!A$253:A$273,0),0)&gt;0,VLOOKUP(B559,Start!A$253:F$273,3,FALSE)/100*Start!$B$4,VLOOKUP(WEEKDAY(B559,2),Start!A$240:F$246,4,FALSE))),"")</f>
        <v/>
      </c>
      <c r="D559" t="str">
        <f>IFERROR(IF(OR(U559="Fri",U559="Ferie",U559="Syk",U559="Omsorg",B559&lt;Start!$F$7),0,IF(IFERROR(MATCH(B559,Start!A$253:A$273,0),0)&gt;0,VLOOKUP(B559,Start!A$253:F$273,3,FALSE)/100*Start!$F$4,VLOOKUP(WEEKDAY(B559,2),Start!A$240:F$246,6,FALSE))),"")</f>
        <v/>
      </c>
      <c r="E559">
        <f t="shared" ca="1" si="632"/>
        <v>0</v>
      </c>
      <c r="F559">
        <f>IFERROR(IF(YEAR(B559)=Start!$B$1,MONTH(B559),""),"")</f>
        <v>11</v>
      </c>
      <c r="G559" s="64" t="str">
        <f>IFERROR(VLOOKUP(B559,Start!A$111:B$273,2,FALSE),"")</f>
        <v/>
      </c>
      <c r="H559" s="21"/>
      <c r="I559" s="78">
        <v>0.33333333333333331</v>
      </c>
      <c r="J559" s="78">
        <v>0.33333333333333331</v>
      </c>
      <c r="K559" s="1" t="str">
        <f>IF(Start!$B$6="Ja","",IF(((J559-I559)*24)&gt;=5.5,"X",""))</f>
        <v/>
      </c>
      <c r="L559" s="1" t="str">
        <f>IF(_xlfn.IFNA(MATCH($A555,Start!$H$3:$H$11,0),0)&gt;0,"Ferie",IFERROR(IF(VLOOKUP(B559,Start!A$165:B$234,2,FALSE)&gt;0,"Fri",0),IF(AND((J559-I559)=0,Z559=""),"",MAX((IF(K559="X",(J559-I559)*24-0.5,(J559-I559)*24)),Z559))))</f>
        <v/>
      </c>
      <c r="M559" s="58"/>
      <c r="N559" s="21" t="str">
        <f t="shared" si="639"/>
        <v/>
      </c>
      <c r="O559" s="21" t="str">
        <f t="shared" si="640"/>
        <v/>
      </c>
      <c r="P559" s="2"/>
      <c r="Q559" s="21"/>
      <c r="R559" s="78">
        <v>0.33333333333333331</v>
      </c>
      <c r="S559" s="78">
        <v>0.33333333333333331</v>
      </c>
      <c r="T559" s="1" t="str">
        <f>IF(Start!$B$6="Ja","",IF(((S559-R559)*24)&gt;=5.5,"X",""))</f>
        <v/>
      </c>
      <c r="U559" s="1" t="str">
        <f>IF(_xlfn.IFNA(MATCH($A$15,Start!$H$3:$H$11,0),0)&gt;0,"Ferie",(IF(L559="fri","Fri",(IF(L559="syk","Syk",IF(L559="Ferie","Ferie",IF(AND((S559-R559)=0,AB559=""),"",MAX((IF(T559="X",(S559-R559)*24-0.5,(S559-R559)*24)),AB559))))))))</f>
        <v/>
      </c>
      <c r="V559" s="58"/>
      <c r="W559" s="21" t="str">
        <f t="shared" si="641"/>
        <v/>
      </c>
      <c r="X559" s="21" t="str">
        <f t="shared" si="642"/>
        <v/>
      </c>
      <c r="Z559" s="70" t="str">
        <f>IF(SUMIFS(TrackingTime!H:H,TrackingTime!F:F,Timer!B559,TrackingTime!C:C,"Hovedkontoret")&gt;0,SUMIFS(TrackingTime!H:H,TrackingTime!F:F,Timer!B559,TrackingTime!C:C,"Hovedkontoret"),"")</f>
        <v/>
      </c>
      <c r="AA559" s="71" t="str">
        <f t="shared" si="607"/>
        <v/>
      </c>
      <c r="AB559" t="str">
        <f>IF(SUMIFS(TrackingTime!H:H,TrackingTime!F:F,Timer!B559,TrackingTime!C:C,Start!$F$3)&gt;0,SUMIFS(TrackingTime!H:H,TrackingTime!F:F,Timer!B559,TrackingTime!C:C,Start!$F$3),"")</f>
        <v/>
      </c>
      <c r="AC559" s="71" t="str">
        <f t="shared" si="611"/>
        <v/>
      </c>
    </row>
    <row r="560" spans="1:29" x14ac:dyDescent="0.25">
      <c r="A560" s="15"/>
      <c r="B560" s="63">
        <f t="shared" si="643"/>
        <v>46340</v>
      </c>
      <c r="C560">
        <f>IFERROR(IF(OR(L560="Fri",L560="Ferie",L560="Syk",L560="Omsorg",B560&lt;Start!$B$7),0,IF(IFERROR(MATCH(B560,Start!A$253:A$273,0),0)&gt;0,VLOOKUP(B560,Start!A$253:F$273,3,FALSE)/100*Start!$B$4,VLOOKUP(WEEKDAY(B560,2),Start!A$240:F$246,4,FALSE))),"")</f>
        <v>0</v>
      </c>
      <c r="D560">
        <f>IFERROR(IF(OR(U560="Fri",U560="Ferie",U560="Syk",U560="Omsorg",B560&lt;Start!$F$7),0,IF(IFERROR(MATCH(B560,Start!A$253:A$273,0),0)&gt;0,VLOOKUP(B560,Start!A$253:F$273,3,FALSE)/100*Start!$F$4,VLOOKUP(WEEKDAY(B560,2),Start!A$240:F$246,6,FALSE))),"")</f>
        <v>0</v>
      </c>
      <c r="E560">
        <f t="shared" ca="1" si="632"/>
        <v>0</v>
      </c>
      <c r="F560">
        <f>IFERROR(IF(YEAR(B560)=Start!$B$1,MONTH(B560),""),"")</f>
        <v>11</v>
      </c>
      <c r="G560" s="64" t="str">
        <f>IFERROR(VLOOKUP(B560,Start!A$111:B$273,2,FALSE),"")</f>
        <v/>
      </c>
      <c r="H560" s="21"/>
      <c r="I560" s="78">
        <v>0.41666666666666669</v>
      </c>
      <c r="J560" s="78">
        <v>0.41666666666666669</v>
      </c>
      <c r="K560" s="1" t="str">
        <f>IF(Start!$B$6="Ja","",IF(((J560-I560)*24)&gt;=5.5,"X",""))</f>
        <v/>
      </c>
      <c r="L560" s="1" t="str">
        <f t="shared" ref="L560:L561" si="644">IF(AND((J560-I560)=0,Z560=""),"",MAX((IF(K560="X",(J560-I560)*24-0.5,(J560-I560)*24)),Z560))</f>
        <v/>
      </c>
      <c r="M560" s="58"/>
      <c r="N560" s="21" t="str">
        <f t="shared" si="639"/>
        <v/>
      </c>
      <c r="O560" s="21" t="str">
        <f t="shared" si="640"/>
        <v/>
      </c>
      <c r="P560" s="2"/>
      <c r="Q560" s="21"/>
      <c r="R560" s="78">
        <v>0.41666666666666669</v>
      </c>
      <c r="S560" s="78">
        <v>0.41666666666666669</v>
      </c>
      <c r="T560" s="1" t="str">
        <f>IF(Start!$B$6="Ja","",IF(((S560-R560)*24)&gt;=5.5,"X",""))</f>
        <v/>
      </c>
      <c r="U560" s="1" t="str">
        <f t="shared" ref="U560:U561" si="645">IF(AND((S560-R560)=0,AB560=""),"",MAX((IF(T560="X",(S560-R560)*24-0.5,(S560-R560)*24)),AB560))</f>
        <v/>
      </c>
      <c r="V560" s="58"/>
      <c r="W560" s="21" t="str">
        <f t="shared" si="641"/>
        <v/>
      </c>
      <c r="X560" s="21" t="str">
        <f t="shared" si="642"/>
        <v/>
      </c>
      <c r="Z560" s="70" t="str">
        <f>IF(SUMIFS(TrackingTime!H:H,TrackingTime!F:F,Timer!B560,TrackingTime!C:C,"Hovedkontoret")&gt;0,SUMIFS(TrackingTime!H:H,TrackingTime!F:F,Timer!B560,TrackingTime!C:C,"Hovedkontoret"),"")</f>
        <v/>
      </c>
      <c r="AA560" s="71" t="str">
        <f t="shared" si="607"/>
        <v/>
      </c>
      <c r="AB560" t="str">
        <f>IF(SUMIFS(TrackingTime!H:H,TrackingTime!F:F,Timer!B560,TrackingTime!C:C,Start!$F$3)&gt;0,SUMIFS(TrackingTime!H:H,TrackingTime!F:F,Timer!B560,TrackingTime!C:C,Start!$F$3),"")</f>
        <v/>
      </c>
      <c r="AC560" s="71" t="str">
        <f t="shared" si="611"/>
        <v/>
      </c>
    </row>
    <row r="561" spans="1:29" x14ac:dyDescent="0.25">
      <c r="A561" s="15"/>
      <c r="B561" s="63">
        <f t="shared" si="643"/>
        <v>46341</v>
      </c>
      <c r="C561">
        <f>IFERROR(IF(OR(L561="Fri",L561="Ferie",L561="Syk",L561="Omsorg",B561&lt;Start!$B$7),0,IF(IFERROR(MATCH(B561,Start!A$253:A$273,0),0)&gt;0,VLOOKUP(B561,Start!A$253:F$273,3,FALSE)/100*Start!$B$4,VLOOKUP(WEEKDAY(B561,2),Start!A$240:F$246,4,FALSE))),"")</f>
        <v>0</v>
      </c>
      <c r="D561">
        <f>IFERROR(IF(OR(U561="Fri",U561="Ferie",U561="Syk",U561="Omsorg",B561&lt;Start!$F$7),0,IF(IFERROR(MATCH(B561,Start!A$253:A$273,0),0)&gt;0,VLOOKUP(B561,Start!A$253:F$273,3,FALSE)/100*Start!$F$4,VLOOKUP(WEEKDAY(B561,2),Start!A$240:F$246,6,FALSE))),"")</f>
        <v>0</v>
      </c>
      <c r="E561">
        <f t="shared" ca="1" si="632"/>
        <v>0</v>
      </c>
      <c r="F561">
        <f>IFERROR(IF(YEAR(B561)=Start!$B$1,MONTH(B561),""),"")</f>
        <v>11</v>
      </c>
      <c r="G561" s="64" t="str">
        <f>IFERROR(VLOOKUP(B561,Start!A$111:B$273,2,FALSE),"")</f>
        <v/>
      </c>
      <c r="H561" s="25"/>
      <c r="I561" s="78">
        <v>0.41666666666666669</v>
      </c>
      <c r="J561" s="78">
        <v>0.41666666666666669</v>
      </c>
      <c r="K561" s="1" t="str">
        <f>IF(Start!$B$6="Ja","",IF(((J561-I561)*24)&gt;=5.5,"X",""))</f>
        <v/>
      </c>
      <c r="L561" s="1" t="str">
        <f t="shared" si="644"/>
        <v/>
      </c>
      <c r="M561" s="58"/>
      <c r="N561" s="21" t="str">
        <f t="shared" si="639"/>
        <v/>
      </c>
      <c r="O561" s="21" t="str">
        <f t="shared" si="640"/>
        <v/>
      </c>
      <c r="Q561" s="25"/>
      <c r="R561" s="78">
        <v>0.41666666666666669</v>
      </c>
      <c r="S561" s="78">
        <v>0.41666666666666669</v>
      </c>
      <c r="T561" s="1" t="str">
        <f>IF(Start!$B$6="Ja","",IF(((S561-R561)*24)&gt;=5.5,"X",""))</f>
        <v/>
      </c>
      <c r="U561" s="1" t="str">
        <f t="shared" si="645"/>
        <v/>
      </c>
      <c r="V561" s="58"/>
      <c r="W561" s="21" t="str">
        <f t="shared" si="641"/>
        <v/>
      </c>
      <c r="X561" s="21" t="str">
        <f t="shared" si="642"/>
        <v/>
      </c>
      <c r="Z561" s="70" t="str">
        <f>IF(SUMIFS(TrackingTime!H:H,TrackingTime!F:F,Timer!B561,TrackingTime!C:C,"Hovedkontoret")&gt;0,SUMIFS(TrackingTime!H:H,TrackingTime!F:F,Timer!B561,TrackingTime!C:C,"Hovedkontoret"),"")</f>
        <v/>
      </c>
      <c r="AA561" s="71" t="str">
        <f t="shared" si="607"/>
        <v/>
      </c>
      <c r="AB561" t="str">
        <f>IF(SUMIFS(TrackingTime!H:H,TrackingTime!F:F,Timer!B561,TrackingTime!C:C,Start!$F$3)&gt;0,SUMIFS(TrackingTime!H:H,TrackingTime!F:F,Timer!B561,TrackingTime!C:C,Start!$F$3),"")</f>
        <v/>
      </c>
      <c r="AC561" s="71" t="str">
        <f t="shared" si="611"/>
        <v/>
      </c>
    </row>
    <row r="562" spans="1:29" x14ac:dyDescent="0.25">
      <c r="A562" s="15"/>
      <c r="B562" s="4" t="s">
        <v>11</v>
      </c>
      <c r="C562" s="24"/>
      <c r="D562" s="24"/>
      <c r="E562" s="24">
        <f t="shared" ca="1" si="632"/>
        <v>0</v>
      </c>
      <c r="F562" s="24" t="str">
        <f>IFERROR(IF(YEAR(B562)=Start!$B$1,MONTH(B562),""),"")</f>
        <v/>
      </c>
      <c r="G562" s="64" t="str">
        <f>IFERROR(VLOOKUP(B562,Start!A$111:B$273,2,FALSE),"")</f>
        <v/>
      </c>
      <c r="H562" s="4"/>
      <c r="I562" s="4"/>
      <c r="J562" s="4"/>
      <c r="K562" s="4"/>
      <c r="L562" s="5">
        <f t="shared" si="600"/>
        <v>0</v>
      </c>
      <c r="N562" s="24"/>
      <c r="O562" s="39">
        <f t="shared" ref="O562" si="646">SUM(O555:O561)</f>
        <v>0</v>
      </c>
      <c r="P562" s="40"/>
      <c r="Q562" s="41"/>
      <c r="R562" s="4"/>
      <c r="S562" s="4"/>
      <c r="T562" s="4"/>
      <c r="U562" s="5">
        <f t="shared" ref="U562" si="647">SUM($U555:$U561)</f>
        <v>0</v>
      </c>
      <c r="V562" s="58"/>
      <c r="W562" s="39"/>
      <c r="X562" s="39">
        <f t="shared" si="603"/>
        <v>0</v>
      </c>
      <c r="Z562" s="70" t="str">
        <f>IF(SUMIFS(TrackingTime!H:H,TrackingTime!F:F,Timer!B562,TrackingTime!C:C,"Hovedkontoret")&gt;0,SUMIFS(TrackingTime!H:H,TrackingTime!F:F,Timer!B562,TrackingTime!C:C,"Hovedkontoret"),"")</f>
        <v/>
      </c>
      <c r="AA562" s="71" t="str">
        <f t="shared" si="607"/>
        <v/>
      </c>
      <c r="AB562" t="str">
        <f>IF(SUMIFS(TrackingTime!H:H,TrackingTime!F:F,Timer!B562,TrackingTime!C:C,Start!$F$3)&gt;0,SUMIFS(TrackingTime!H:H,TrackingTime!F:F,Timer!B562,TrackingTime!C:C,Start!$F$3),"")</f>
        <v/>
      </c>
      <c r="AC562" s="71" t="str">
        <f t="shared" si="611"/>
        <v/>
      </c>
    </row>
    <row r="563" spans="1:29" x14ac:dyDescent="0.25">
      <c r="A563" s="15"/>
      <c r="B563" t="s">
        <v>90</v>
      </c>
      <c r="E563">
        <f t="shared" ca="1" si="632"/>
        <v>0</v>
      </c>
      <c r="F563" t="str">
        <f>IFERROR(IF(YEAR(B563)=Start!$B$1,MONTH(B563),""),"")</f>
        <v/>
      </c>
      <c r="G563" s="64" t="str">
        <f>IFERROR(VLOOKUP(B563,Start!A$111:B$273,2,FALSE),"")</f>
        <v/>
      </c>
      <c r="L563" s="1">
        <f t="shared" si="604"/>
        <v>0</v>
      </c>
      <c r="M563" s="1"/>
      <c r="N563" s="1"/>
      <c r="O563" s="21">
        <f t="shared" ref="O563" si="648">L563</f>
        <v>0</v>
      </c>
      <c r="P563" s="40"/>
      <c r="Q563" s="21"/>
      <c r="U563" s="1">
        <f t="shared" ref="U563" si="649">SUMIFS(D555:D561,F555:F561,"&gt;0")</f>
        <v>0</v>
      </c>
      <c r="V563" s="1"/>
      <c r="W563" s="1"/>
      <c r="X563" s="21">
        <f>U563</f>
        <v>0</v>
      </c>
      <c r="Z563" s="70" t="str">
        <f>IF(SUMIFS(TrackingTime!H:H,TrackingTime!F:F,Timer!B563,TrackingTime!C:C,"Hovedkontoret")&gt;0,SUMIFS(TrackingTime!H:H,TrackingTime!F:F,Timer!B563,TrackingTime!C:C,"Hovedkontoret"),"")</f>
        <v/>
      </c>
      <c r="AA563" s="71" t="str">
        <f t="shared" si="607"/>
        <v/>
      </c>
      <c r="AB563" t="str">
        <f>IF(SUMIFS(TrackingTime!H:H,TrackingTime!F:F,Timer!B563,TrackingTime!C:C,Start!$F$3)&gt;0,SUMIFS(TrackingTime!H:H,TrackingTime!F:F,Timer!B563,TrackingTime!C:C,Start!$F$3),"")</f>
        <v/>
      </c>
      <c r="AC563" s="71" t="str">
        <f t="shared" si="611"/>
        <v/>
      </c>
    </row>
    <row r="564" spans="1:29" x14ac:dyDescent="0.25">
      <c r="A564" s="16">
        <f>B561-B555-1</f>
        <v>5</v>
      </c>
      <c r="B564" t="s">
        <v>117</v>
      </c>
      <c r="E564">
        <f t="shared" ca="1" si="632"/>
        <v>0</v>
      </c>
      <c r="F564" t="str">
        <f>IFERROR(IF(YEAR(B564)=Start!$B$1,MONTH(B564),""),"")</f>
        <v/>
      </c>
      <c r="G564" s="64" t="str">
        <f>IFERROR(VLOOKUP(B564,Start!A$111:B$273,2,FALSE),"")</f>
        <v/>
      </c>
      <c r="L564" s="77">
        <f t="shared" ca="1" si="608"/>
        <v>0</v>
      </c>
      <c r="O564" s="21">
        <f t="shared" ref="O564" si="650">O562-O563</f>
        <v>0</v>
      </c>
      <c r="P564" s="21"/>
      <c r="Q564" s="21"/>
      <c r="U564" s="1">
        <f t="shared" ref="U564" ca="1" si="651">U562-U563*(IF(NETWORKDAYS($B555,TODAY())&lt;0,0,IF(NETWORKDAYS($B555,TODAY())&lt;=$A564,NETWORKDAYS($B555,TODAY()),$A564)))/$A564</f>
        <v>0</v>
      </c>
      <c r="V564" s="58"/>
      <c r="W564" s="21"/>
      <c r="X564" s="21">
        <f>X562-X563</f>
        <v>0</v>
      </c>
      <c r="Z564" s="70" t="str">
        <f>IF(SUMIFS(TrackingTime!H:H,TrackingTime!F:F,Timer!B564,TrackingTime!C:C,"Hovedkontoret")&gt;0,SUMIFS(TrackingTime!H:H,TrackingTime!F:F,Timer!B564,TrackingTime!C:C,"Hovedkontoret"),"")</f>
        <v/>
      </c>
      <c r="AA564" s="71" t="str">
        <f t="shared" si="607"/>
        <v/>
      </c>
      <c r="AB564" t="str">
        <f>IF(SUMIFS(TrackingTime!H:H,TrackingTime!F:F,Timer!B564,TrackingTime!C:C,Start!$F$3)&gt;0,SUMIFS(TrackingTime!H:H,TrackingTime!F:F,Timer!B564,TrackingTime!C:C,Start!$F$3),"")</f>
        <v/>
      </c>
      <c r="AC564" s="71" t="str">
        <f t="shared" si="611"/>
        <v/>
      </c>
    </row>
    <row r="565" spans="1:29" x14ac:dyDescent="0.25">
      <c r="A565" s="15"/>
      <c r="E565">
        <f t="shared" ca="1" si="632"/>
        <v>1</v>
      </c>
      <c r="F565" t="str">
        <f>IFERROR(IF(YEAR(B565)=Start!$B$1,MONTH(B565),""),"")</f>
        <v/>
      </c>
      <c r="G565" s="64" t="str">
        <f>IFERROR(VLOOKUP(B565,Start!A$111:B$273,2,FALSE),"")</f>
        <v/>
      </c>
      <c r="O565" s="2"/>
      <c r="P565" s="2"/>
      <c r="U565" s="1"/>
      <c r="V565" s="7"/>
      <c r="X565" s="2"/>
      <c r="Z565" s="70" t="str">
        <f>IF(SUMIFS(TrackingTime!H:H,TrackingTime!F:F,Timer!B565,TrackingTime!C:C,"Hovedkontoret")&gt;0,SUMIFS(TrackingTime!H:H,TrackingTime!F:F,Timer!B565,TrackingTime!C:C,"Hovedkontoret"),"")</f>
        <v/>
      </c>
      <c r="AA565" s="71" t="str">
        <f t="shared" si="607"/>
        <v/>
      </c>
      <c r="AB565" t="str">
        <f>IF(SUMIFS(TrackingTime!H:H,TrackingTime!F:F,Timer!B565,TrackingTime!C:C,Start!$F$3)&gt;0,SUMIFS(TrackingTime!H:H,TrackingTime!F:F,Timer!B565,TrackingTime!C:C,Start!$F$3),"")</f>
        <v/>
      </c>
      <c r="AC565" s="71" t="str">
        <f t="shared" si="611"/>
        <v/>
      </c>
    </row>
    <row r="566" spans="1:29" x14ac:dyDescent="0.25">
      <c r="A566" s="2" t="s">
        <v>82</v>
      </c>
      <c r="B566" s="14" t="s">
        <v>83</v>
      </c>
      <c r="E566">
        <f t="shared" ca="1" si="632"/>
        <v>0</v>
      </c>
      <c r="F566" t="str">
        <f>IFERROR(IF(YEAR(B566)=Start!$B$1,MONTH(B566),""),"")</f>
        <v/>
      </c>
      <c r="G566" s="64" t="str">
        <f>IFERROR(VLOOKUP(B566,Start!A$111:B$273,2,FALSE),"")</f>
        <v/>
      </c>
      <c r="H566" s="2" t="s">
        <v>86</v>
      </c>
      <c r="I566" s="2" t="s">
        <v>125</v>
      </c>
      <c r="J566" s="2" t="s">
        <v>126</v>
      </c>
      <c r="K566" s="2" t="s">
        <v>127</v>
      </c>
      <c r="L566" s="3" t="s">
        <v>87</v>
      </c>
      <c r="M566" s="6"/>
      <c r="N566" s="2" t="s">
        <v>88</v>
      </c>
      <c r="O566" s="2" t="s">
        <v>89</v>
      </c>
      <c r="P566" s="2"/>
      <c r="Q566" s="2" t="s">
        <v>86</v>
      </c>
      <c r="R566" s="2" t="s">
        <v>125</v>
      </c>
      <c r="S566" s="2" t="s">
        <v>126</v>
      </c>
      <c r="T566" s="2" t="s">
        <v>127</v>
      </c>
      <c r="U566" s="3" t="s">
        <v>87</v>
      </c>
      <c r="V566" s="6"/>
      <c r="W566" s="2" t="s">
        <v>88</v>
      </c>
      <c r="X566" s="2" t="s">
        <v>89</v>
      </c>
      <c r="Z566" s="70" t="str">
        <f>IF(SUMIFS(TrackingTime!H:H,TrackingTime!F:F,Timer!B566,TrackingTime!C:C,"Hovedkontoret")&gt;0,SUMIFS(TrackingTime!H:H,TrackingTime!F:F,Timer!B566,TrackingTime!C:C,"Hovedkontoret"),"")</f>
        <v/>
      </c>
      <c r="AA566" s="71" t="str">
        <f t="shared" si="607"/>
        <v/>
      </c>
      <c r="AB566" t="str">
        <f>IF(SUMIFS(TrackingTime!H:H,TrackingTime!F:F,Timer!B566,TrackingTime!C:C,Start!$F$3)&gt;0,SUMIFS(TrackingTime!H:H,TrackingTime!F:F,Timer!B566,TrackingTime!C:C,Start!$F$3),"")</f>
        <v/>
      </c>
      <c r="AC566" s="71" t="str">
        <f t="shared" si="611"/>
        <v/>
      </c>
    </row>
    <row r="567" spans="1:29" x14ac:dyDescent="0.25">
      <c r="A567" s="15">
        <f>WEEKNUM(B567,21)</f>
        <v>47</v>
      </c>
      <c r="B567" s="63">
        <f>B561+(DAY(1))</f>
        <v>46342</v>
      </c>
      <c r="C567" t="str">
        <f>IFERROR(IF(OR(L567="Fri",L567="Ferie",L567="Syk",L567="Omsorg",B567&lt;Start!$B$7),0,IF(IFERROR(MATCH(B567,Start!A$253:A$273,0),0)&gt;0,VLOOKUP(B567,Start!A$253:F$273,3,FALSE)/100*Start!$B$4,VLOOKUP(WEEKDAY(B567,2),Start!A$240:F$246,4,FALSE))),"")</f>
        <v/>
      </c>
      <c r="D567" t="str">
        <f>IFERROR(IF(OR(U567="Fri",U567="Ferie",U567="Syk",U567="Omsorg",B567&lt;Start!$F$7),0,IF(IFERROR(MATCH(B567,Start!A$253:A$273,0),0)&gt;0,VLOOKUP(B567,Start!A$253:F$273,3,FALSE)/100*Start!$F$4,VLOOKUP(WEEKDAY(B567,2),Start!A$240:F$246,6,FALSE))),"")</f>
        <v/>
      </c>
      <c r="E567">
        <f t="shared" ca="1" si="632"/>
        <v>0</v>
      </c>
      <c r="F567">
        <f>IFERROR(IF(YEAR(B567)=Start!$B$1,MONTH(B567),""),"")</f>
        <v>11</v>
      </c>
      <c r="G567" s="64" t="str">
        <f>IFERROR(VLOOKUP(B567,Start!A$111:B$273,2,FALSE),"")</f>
        <v/>
      </c>
      <c r="H567" s="21"/>
      <c r="I567" s="78">
        <v>0.33333333333333331</v>
      </c>
      <c r="J567" s="78">
        <v>0.33333333333333331</v>
      </c>
      <c r="K567" s="1" t="str">
        <f>IF(Start!$B$6="Ja","",IF(((J567-I567)*24)&gt;=5.5,"X",""))</f>
        <v/>
      </c>
      <c r="L567" s="1" t="str">
        <f>IF(_xlfn.IFNA(MATCH($A567,Start!$H$3:$H$11,0),0)&gt;0,"Ferie",IFERROR(IF(VLOOKUP(B567,Start!A$165:B$234,2,FALSE)&gt;0,"Fri",0),IF(AND((J567-I567)=0,Z567=""),"",MAX((IF(K567="X",(J567-I567)*24-0.5,(J567-I567)*24)),Z567))))</f>
        <v/>
      </c>
      <c r="M567" s="58"/>
      <c r="N567" s="21" t="str">
        <f t="shared" ref="N567:N573" si="652">IF(H567=0,"",H567)</f>
        <v/>
      </c>
      <c r="O567" s="21" t="str">
        <f t="shared" ref="O567:O573" si="653">IF(L567=0,"",L567)</f>
        <v/>
      </c>
      <c r="P567" s="2"/>
      <c r="Q567" s="21"/>
      <c r="R567" s="78">
        <v>0.33333333333333331</v>
      </c>
      <c r="S567" s="78">
        <v>0.33333333333333331</v>
      </c>
      <c r="T567" s="1" t="str">
        <f>IF(Start!$B$6="Ja","",IF(((S567-R567)*24)&gt;=5.5,"X",""))</f>
        <v/>
      </c>
      <c r="U567" s="1" t="str">
        <f>IF(_xlfn.IFNA(MATCH($A$15,Start!$H$3:$H$11,0),0)&gt;0,"Ferie",(IF(L567="fri","Fri",(IF(L567="syk","Syk",IF(L567="Ferie","Ferie",IF(AND((S567-R567)=0,AB567=""),"",MAX((IF(T567="X",(S567-R567)*24-0.5,(S567-R567)*24)),AB567))))))))</f>
        <v/>
      </c>
      <c r="V567" s="58"/>
      <c r="W567" s="21" t="str">
        <f t="shared" ref="W567:W573" si="654">IF(Q567=0,"",Q567)</f>
        <v/>
      </c>
      <c r="X567" s="21" t="str">
        <f t="shared" ref="X567:X573" si="655">IF(U567=0,"",U567)</f>
        <v/>
      </c>
      <c r="Z567" s="70" t="str">
        <f>IF(SUMIFS(TrackingTime!H:H,TrackingTime!F:F,Timer!B567,TrackingTime!C:C,"Hovedkontoret")&gt;0,SUMIFS(TrackingTime!H:H,TrackingTime!F:F,Timer!B567,TrackingTime!C:C,"Hovedkontoret"),"")</f>
        <v/>
      </c>
      <c r="AA567" s="71" t="str">
        <f t="shared" si="607"/>
        <v/>
      </c>
      <c r="AB567" t="str">
        <f>IF(SUMIFS(TrackingTime!H:H,TrackingTime!F:F,Timer!B567,TrackingTime!C:C,Start!$F$3)&gt;0,SUMIFS(TrackingTime!H:H,TrackingTime!F:F,Timer!B567,TrackingTime!C:C,Start!$F$3),"")</f>
        <v/>
      </c>
      <c r="AC567" s="71" t="str">
        <f t="shared" si="611"/>
        <v/>
      </c>
    </row>
    <row r="568" spans="1:29" x14ac:dyDescent="0.25">
      <c r="A568" s="15"/>
      <c r="B568" s="63">
        <f t="shared" ref="B568:B573" si="656">B567+DAY(1)</f>
        <v>46343</v>
      </c>
      <c r="C568" t="str">
        <f>IFERROR(IF(OR(L568="Fri",L568="Ferie",L568="Syk",L568="Omsorg",B568&lt;Start!$B$7),0,IF(IFERROR(MATCH(B568,Start!A$253:A$273,0),0)&gt;0,VLOOKUP(B568,Start!A$253:F$273,3,FALSE)/100*Start!$B$4,VLOOKUP(WEEKDAY(B568,2),Start!A$240:F$246,4,FALSE))),"")</f>
        <v/>
      </c>
      <c r="D568" t="str">
        <f>IFERROR(IF(OR(U568="Fri",U568="Ferie",U568="Syk",U568="Omsorg",B568&lt;Start!$F$7),0,IF(IFERROR(MATCH(B568,Start!A$253:A$273,0),0)&gt;0,VLOOKUP(B568,Start!A$253:F$273,3,FALSE)/100*Start!$F$4,VLOOKUP(WEEKDAY(B568,2),Start!A$240:F$246,6,FALSE))),"")</f>
        <v/>
      </c>
      <c r="E568">
        <f t="shared" ca="1" si="632"/>
        <v>0</v>
      </c>
      <c r="F568">
        <f>IFERROR(IF(YEAR(B568)=Start!$B$1,MONTH(B568),""),"")</f>
        <v>11</v>
      </c>
      <c r="G568" s="64" t="str">
        <f>IFERROR(VLOOKUP(B568,Start!A$111:B$273,2,FALSE),"")</f>
        <v/>
      </c>
      <c r="H568" s="21"/>
      <c r="I568" s="78">
        <v>0.33333333333333331</v>
      </c>
      <c r="J568" s="78">
        <v>0.33333333333333331</v>
      </c>
      <c r="K568" s="1" t="str">
        <f>IF(Start!$B$6="Ja","",IF(((J568-I568)*24)&gt;=5.5,"X",""))</f>
        <v/>
      </c>
      <c r="L568" s="1" t="str">
        <f>IF(_xlfn.IFNA(MATCH($A567,Start!$H$3:$H$11,0),0)&gt;0,"Ferie",IFERROR(IF(VLOOKUP($B568,Start!$A$165:$B$234,2,FALSE)&gt;0,"Fri",0),IF(AND((J568-I568)=0,Z568=""),"",MAX((IF(K568="X",(J568-I568)*24-0.5,(J568-I568)*24)),Z568))))</f>
        <v/>
      </c>
      <c r="M568" s="58"/>
      <c r="N568" s="21" t="str">
        <f t="shared" si="652"/>
        <v/>
      </c>
      <c r="O568" s="21" t="str">
        <f t="shared" si="653"/>
        <v/>
      </c>
      <c r="P568" s="2"/>
      <c r="Q568" s="21"/>
      <c r="R568" s="78">
        <v>0.33333333333333331</v>
      </c>
      <c r="S568" s="78">
        <v>0.33333333333333331</v>
      </c>
      <c r="T568" s="1" t="str">
        <f>IF(Start!$B$6="Ja","",IF(((S568-R568)*24)&gt;=5.5,"X",""))</f>
        <v/>
      </c>
      <c r="U568" s="1" t="str">
        <f>IF(_xlfn.IFNA(MATCH($A$15,Start!$H$3:$H$11,0),0)&gt;0,"Ferie",(IF(L568="fri","Fri",(IF(L568="syk","Syk",IF(L568="Ferie","Ferie",IF(AND((S568-R568)=0,AB568=""),"",MAX((IF(T568="X",(S568-R568)*24-0.5,(S568-R568)*24)),AB568))))))))</f>
        <v/>
      </c>
      <c r="V568" s="58"/>
      <c r="W568" s="21" t="str">
        <f t="shared" si="654"/>
        <v/>
      </c>
      <c r="X568" s="21" t="str">
        <f t="shared" si="655"/>
        <v/>
      </c>
      <c r="Z568" s="70" t="str">
        <f>IF(SUMIFS(TrackingTime!H:H,TrackingTime!F:F,Timer!B568,TrackingTime!C:C,"Hovedkontoret")&gt;0,SUMIFS(TrackingTime!H:H,TrackingTime!F:F,Timer!B568,TrackingTime!C:C,"Hovedkontoret"),"")</f>
        <v/>
      </c>
      <c r="AA568" s="71" t="str">
        <f t="shared" si="607"/>
        <v/>
      </c>
      <c r="AB568" t="str">
        <f>IF(SUMIFS(TrackingTime!H:H,TrackingTime!F:F,Timer!B568,TrackingTime!C:C,Start!$F$3)&gt;0,SUMIFS(TrackingTime!H:H,TrackingTime!F:F,Timer!B568,TrackingTime!C:C,Start!$F$3),"")</f>
        <v/>
      </c>
      <c r="AC568" s="71" t="str">
        <f t="shared" si="611"/>
        <v/>
      </c>
    </row>
    <row r="569" spans="1:29" x14ac:dyDescent="0.25">
      <c r="A569" s="15"/>
      <c r="B569" s="63">
        <f t="shared" si="656"/>
        <v>46344</v>
      </c>
      <c r="C569" t="str">
        <f>IFERROR(IF(OR(L569="Fri",L569="Ferie",L569="Syk",L569="Omsorg",B569&lt;Start!$B$7),0,IF(IFERROR(MATCH(B569,Start!A$253:A$273,0),0)&gt;0,VLOOKUP(B569,Start!A$253:F$273,3,FALSE)/100*Start!$B$4,VLOOKUP(WEEKDAY(B569,2),Start!A$240:F$246,4,FALSE))),"")</f>
        <v/>
      </c>
      <c r="D569" t="str">
        <f>IFERROR(IF(OR(U569="Fri",U569="Ferie",U569="Syk",U569="Omsorg",B569&lt;Start!$F$7),0,IF(IFERROR(MATCH(B569,Start!A$253:A$273,0),0)&gt;0,VLOOKUP(B569,Start!A$253:F$273,3,FALSE)/100*Start!$F$4,VLOOKUP(WEEKDAY(B569,2),Start!A$240:F$246,6,FALSE))),"")</f>
        <v/>
      </c>
      <c r="E569">
        <f t="shared" ca="1" si="632"/>
        <v>0</v>
      </c>
      <c r="F569">
        <f>IFERROR(IF(YEAR(B569)=Start!$B$1,MONTH(B569),""),"")</f>
        <v>11</v>
      </c>
      <c r="G569" s="64" t="str">
        <f>IFERROR(VLOOKUP(B569,Start!A$111:B$273,2,FALSE),"")</f>
        <v/>
      </c>
      <c r="H569" s="21"/>
      <c r="I569" s="78">
        <v>0.33333333333333331</v>
      </c>
      <c r="J569" s="78">
        <v>0.33333333333333331</v>
      </c>
      <c r="K569" s="1" t="str">
        <f>IF(Start!$B$6="Ja","",IF(((J569-I569)*24)&gt;=5.5,"X",""))</f>
        <v/>
      </c>
      <c r="L569" s="1" t="str">
        <f>IF(_xlfn.IFNA(MATCH($A567,Start!$H$3:$H$11,0),0)&gt;0,"Ferie",IFERROR(IF(VLOOKUP(B569,Start!A$165:B$234,2,FALSE)&gt;0,"Fri",0),IF(AND((J569-I569)=0,Z569=""),"",MAX((IF(K569="X",(J569-I569)*24-0.5,(J569-I569)*24)),Z569))))</f>
        <v/>
      </c>
      <c r="M569" s="58"/>
      <c r="N569" s="21" t="str">
        <f t="shared" si="652"/>
        <v/>
      </c>
      <c r="O569" s="21" t="str">
        <f t="shared" si="653"/>
        <v/>
      </c>
      <c r="P569" s="2"/>
      <c r="Q569" s="21"/>
      <c r="R569" s="78">
        <v>0.33333333333333331</v>
      </c>
      <c r="S569" s="78">
        <v>0.33333333333333331</v>
      </c>
      <c r="T569" s="1" t="str">
        <f>IF(Start!$B$6="Ja","",IF(((S569-R569)*24)&gt;=5.5,"X",""))</f>
        <v/>
      </c>
      <c r="U569" s="1" t="str">
        <f>IF(_xlfn.IFNA(MATCH($A$15,Start!$H$3:$H$11,0),0)&gt;0,"Ferie",(IF(L569="fri","Fri",(IF(L569="syk","Syk",IF(L569="Ferie","Ferie",IF(AND((S569-R569)=0,AB569=""),"",MAX((IF(T569="X",(S569-R569)*24-0.5,(S569-R569)*24)),AB569))))))))</f>
        <v/>
      </c>
      <c r="V569" s="58"/>
      <c r="W569" s="21" t="str">
        <f t="shared" si="654"/>
        <v/>
      </c>
      <c r="X569" s="21" t="str">
        <f t="shared" si="655"/>
        <v/>
      </c>
      <c r="Z569" s="70" t="str">
        <f>IF(SUMIFS(TrackingTime!H:H,TrackingTime!F:F,Timer!B569,TrackingTime!C:C,"Hovedkontoret")&gt;0,SUMIFS(TrackingTime!H:H,TrackingTime!F:F,Timer!B569,TrackingTime!C:C,"Hovedkontoret"),"")</f>
        <v/>
      </c>
      <c r="AA569" s="71" t="str">
        <f t="shared" si="607"/>
        <v/>
      </c>
      <c r="AB569" t="str">
        <f>IF(SUMIFS(TrackingTime!H:H,TrackingTime!F:F,Timer!B569,TrackingTime!C:C,Start!$F$3)&gt;0,SUMIFS(TrackingTime!H:H,TrackingTime!F:F,Timer!B569,TrackingTime!C:C,Start!$F$3),"")</f>
        <v/>
      </c>
      <c r="AC569" s="71" t="str">
        <f t="shared" si="611"/>
        <v/>
      </c>
    </row>
    <row r="570" spans="1:29" x14ac:dyDescent="0.25">
      <c r="A570" s="15"/>
      <c r="B570" s="63">
        <f t="shared" si="656"/>
        <v>46345</v>
      </c>
      <c r="C570" t="str">
        <f>IFERROR(IF(OR(L570="Fri",L570="Ferie",L570="Syk",L570="Omsorg",B570&lt;Start!$B$7),0,IF(IFERROR(MATCH(B570,Start!A$253:A$273,0),0)&gt;0,VLOOKUP(B570,Start!A$253:F$273,3,FALSE)/100*Start!$B$4,VLOOKUP(WEEKDAY(B570,2),Start!A$240:F$246,4,FALSE))),"")</f>
        <v/>
      </c>
      <c r="D570" t="str">
        <f>IFERROR(IF(OR(U570="Fri",U570="Ferie",U570="Syk",U570="Omsorg",B570&lt;Start!$F$7),0,IF(IFERROR(MATCH(B570,Start!A$253:A$273,0),0)&gt;0,VLOOKUP(B570,Start!A$253:F$273,3,FALSE)/100*Start!$F$4,VLOOKUP(WEEKDAY(B570,2),Start!A$240:F$246,6,FALSE))),"")</f>
        <v/>
      </c>
      <c r="E570">
        <f t="shared" ca="1" si="632"/>
        <v>0</v>
      </c>
      <c r="F570">
        <f>IFERROR(IF(YEAR(B570)=Start!$B$1,MONTH(B570),""),"")</f>
        <v>11</v>
      </c>
      <c r="G570" s="64" t="str">
        <f>IFERROR(VLOOKUP(B570,Start!A$111:B$273,2,FALSE),"")</f>
        <v/>
      </c>
      <c r="H570" s="21"/>
      <c r="I570" s="78">
        <v>0.33333333333333331</v>
      </c>
      <c r="J570" s="78">
        <v>0.33333333333333331</v>
      </c>
      <c r="K570" s="1" t="str">
        <f>IF(Start!$B$6="Ja","",IF(((J570-I570)*24)&gt;=5.5,"X",""))</f>
        <v/>
      </c>
      <c r="L570" s="1" t="str">
        <f>IF(_xlfn.IFNA(MATCH($A567,Start!$H$3:$H$11,0),0)&gt;0,"Ferie",IFERROR(IF(VLOOKUP(B570,Start!A$165:B$234,2,FALSE)&gt;0,"Fri",0),IF(AND((J570-I570)=0,Z570=""),"",MAX((IF(K570="X",(J570-I570)*24-0.5,(J570-I570)*24)),Z570))))</f>
        <v/>
      </c>
      <c r="M570" s="58"/>
      <c r="N570" s="21" t="str">
        <f t="shared" si="652"/>
        <v/>
      </c>
      <c r="O570" s="21" t="str">
        <f t="shared" si="653"/>
        <v/>
      </c>
      <c r="P570" s="2"/>
      <c r="Q570" s="21"/>
      <c r="R570" s="78">
        <v>0.33333333333333331</v>
      </c>
      <c r="S570" s="78">
        <v>0.33333333333333331</v>
      </c>
      <c r="T570" s="1" t="str">
        <f>IF(Start!$B$6="Ja","",IF(((S570-R570)*24)&gt;=5.5,"X",""))</f>
        <v/>
      </c>
      <c r="U570" s="1" t="str">
        <f>IF(_xlfn.IFNA(MATCH($A$15,Start!$H$3:$H$11,0),0)&gt;0,"Ferie",(IF(L570="fri","Fri",(IF(L570="syk","Syk",IF(L570="Ferie","Ferie",IF(AND((S570-R570)=0,AB570=""),"",MAX((IF(T570="X",(S570-R570)*24-0.5,(S570-R570)*24)),AB570))))))))</f>
        <v/>
      </c>
      <c r="V570" s="58"/>
      <c r="W570" s="21" t="str">
        <f t="shared" si="654"/>
        <v/>
      </c>
      <c r="X570" s="21" t="str">
        <f t="shared" si="655"/>
        <v/>
      </c>
      <c r="Z570" s="70" t="str">
        <f>IF(SUMIFS(TrackingTime!H:H,TrackingTime!F:F,Timer!B570,TrackingTime!C:C,"Hovedkontoret")&gt;0,SUMIFS(TrackingTime!H:H,TrackingTime!F:F,Timer!B570,TrackingTime!C:C,"Hovedkontoret"),"")</f>
        <v/>
      </c>
      <c r="AA570" s="71" t="str">
        <f t="shared" si="607"/>
        <v/>
      </c>
      <c r="AB570" t="str">
        <f>IF(SUMIFS(TrackingTime!H:H,TrackingTime!F:F,Timer!B570,TrackingTime!C:C,Start!$F$3)&gt;0,SUMIFS(TrackingTime!H:H,TrackingTime!F:F,Timer!B570,TrackingTime!C:C,Start!$F$3),"")</f>
        <v/>
      </c>
      <c r="AC570" s="71" t="str">
        <f t="shared" si="611"/>
        <v/>
      </c>
    </row>
    <row r="571" spans="1:29" x14ac:dyDescent="0.25">
      <c r="A571" s="15"/>
      <c r="B571" s="63">
        <f t="shared" si="656"/>
        <v>46346</v>
      </c>
      <c r="C571" t="str">
        <f>IFERROR(IF(OR(L571="Fri",L571="Ferie",L571="Syk",L571="Omsorg",B571&lt;Start!$B$7),0,IF(IFERROR(MATCH(B571,Start!A$253:A$273,0),0)&gt;0,VLOOKUP(B571,Start!A$253:F$273,3,FALSE)/100*Start!$B$4,VLOOKUP(WEEKDAY(B571,2),Start!A$240:F$246,4,FALSE))),"")</f>
        <v/>
      </c>
      <c r="D571" t="str">
        <f>IFERROR(IF(OR(U571="Fri",U571="Ferie",U571="Syk",U571="Omsorg",B571&lt;Start!$F$7),0,IF(IFERROR(MATCH(B571,Start!A$253:A$273,0),0)&gt;0,VLOOKUP(B571,Start!A$253:F$273,3,FALSE)/100*Start!$F$4,VLOOKUP(WEEKDAY(B571,2),Start!A$240:F$246,6,FALSE))),"")</f>
        <v/>
      </c>
      <c r="E571">
        <f t="shared" ca="1" si="632"/>
        <v>0</v>
      </c>
      <c r="F571">
        <f>IFERROR(IF(YEAR(B571)=Start!$B$1,MONTH(B571),""),"")</f>
        <v>11</v>
      </c>
      <c r="G571" s="64" t="str">
        <f>IFERROR(VLOOKUP(B571,Start!A$111:B$273,2,FALSE),"")</f>
        <v/>
      </c>
      <c r="H571" s="21"/>
      <c r="I571" s="78">
        <v>0.33333333333333331</v>
      </c>
      <c r="J571" s="78">
        <v>0.33333333333333331</v>
      </c>
      <c r="K571" s="1" t="str">
        <f>IF(Start!$B$6="Ja","",IF(((J571-I571)*24)&gt;=5.5,"X",""))</f>
        <v/>
      </c>
      <c r="L571" s="1" t="str">
        <f>IF(_xlfn.IFNA(MATCH($A567,Start!$H$3:$H$11,0),0)&gt;0,"Ferie",IFERROR(IF(VLOOKUP(B571,Start!A$165:B$234,2,FALSE)&gt;0,"Fri",0),IF(AND((J571-I571)=0,Z571=""),"",MAX((IF(K571="X",(J571-I571)*24-0.5,(J571-I571)*24)),Z571))))</f>
        <v/>
      </c>
      <c r="M571" s="58"/>
      <c r="N571" s="21" t="str">
        <f t="shared" si="652"/>
        <v/>
      </c>
      <c r="O571" s="21" t="str">
        <f t="shared" si="653"/>
        <v/>
      </c>
      <c r="P571" s="2"/>
      <c r="Q571" s="21"/>
      <c r="R571" s="78">
        <v>0.33333333333333331</v>
      </c>
      <c r="S571" s="78">
        <v>0.33333333333333331</v>
      </c>
      <c r="T571" s="1" t="str">
        <f>IF(Start!$B$6="Ja","",IF(((S571-R571)*24)&gt;=5.5,"X",""))</f>
        <v/>
      </c>
      <c r="U571" s="1" t="str">
        <f>IF(_xlfn.IFNA(MATCH($A$15,Start!$H$3:$H$11,0),0)&gt;0,"Ferie",(IF(L571="fri","Fri",(IF(L571="syk","Syk",IF(L571="Ferie","Ferie",IF(AND((S571-R571)=0,AB571=""),"",MAX((IF(T571="X",(S571-R571)*24-0.5,(S571-R571)*24)),AB571))))))))</f>
        <v/>
      </c>
      <c r="V571" s="58"/>
      <c r="W571" s="21" t="str">
        <f t="shared" si="654"/>
        <v/>
      </c>
      <c r="X571" s="21" t="str">
        <f t="shared" si="655"/>
        <v/>
      </c>
      <c r="Z571" s="70" t="str">
        <f>IF(SUMIFS(TrackingTime!H:H,TrackingTime!F:F,Timer!B571,TrackingTime!C:C,"Hovedkontoret")&gt;0,SUMIFS(TrackingTime!H:H,TrackingTime!F:F,Timer!B571,TrackingTime!C:C,"Hovedkontoret"),"")</f>
        <v/>
      </c>
      <c r="AA571" s="71" t="str">
        <f t="shared" si="607"/>
        <v/>
      </c>
      <c r="AB571" t="str">
        <f>IF(SUMIFS(TrackingTime!H:H,TrackingTime!F:F,Timer!B571,TrackingTime!C:C,Start!$F$3)&gt;0,SUMIFS(TrackingTime!H:H,TrackingTime!F:F,Timer!B571,TrackingTime!C:C,Start!$F$3),"")</f>
        <v/>
      </c>
      <c r="AC571" s="71" t="str">
        <f t="shared" si="611"/>
        <v/>
      </c>
    </row>
    <row r="572" spans="1:29" x14ac:dyDescent="0.25">
      <c r="A572" s="15"/>
      <c r="B572" s="63">
        <f t="shared" si="656"/>
        <v>46347</v>
      </c>
      <c r="C572">
        <f>IFERROR(IF(OR(L572="Fri",L572="Ferie",L572="Syk",L572="Omsorg",B572&lt;Start!$B$7),0,IF(IFERROR(MATCH(B572,Start!A$253:A$273,0),0)&gt;0,VLOOKUP(B572,Start!A$253:F$273,3,FALSE)/100*Start!$B$4,VLOOKUP(WEEKDAY(B572,2),Start!A$240:F$246,4,FALSE))),"")</f>
        <v>0</v>
      </c>
      <c r="D572">
        <f>IFERROR(IF(OR(U572="Fri",U572="Ferie",U572="Syk",U572="Omsorg",B572&lt;Start!$F$7),0,IF(IFERROR(MATCH(B572,Start!A$253:A$273,0),0)&gt;0,VLOOKUP(B572,Start!A$253:F$273,3,FALSE)/100*Start!$F$4,VLOOKUP(WEEKDAY(B572,2),Start!A$240:F$246,6,FALSE))),"")</f>
        <v>0</v>
      </c>
      <c r="E572">
        <f t="shared" ca="1" si="632"/>
        <v>0</v>
      </c>
      <c r="F572">
        <f>IFERROR(IF(YEAR(B572)=Start!$B$1,MONTH(B572),""),"")</f>
        <v>11</v>
      </c>
      <c r="G572" s="64" t="str">
        <f>IFERROR(VLOOKUP(B572,Start!A$111:B$273,2,FALSE),"")</f>
        <v/>
      </c>
      <c r="H572" s="21"/>
      <c r="I572" s="78">
        <v>0.41666666666666669</v>
      </c>
      <c r="J572" s="78">
        <v>0.41666666666666669</v>
      </c>
      <c r="K572" s="1" t="str">
        <f>IF(Start!$B$6="Ja","",IF(((J572-I572)*24)&gt;=5.5,"X",""))</f>
        <v/>
      </c>
      <c r="L572" s="1" t="str">
        <f t="shared" ref="L572:L573" si="657">IF(AND((J572-I572)=0,Z572=""),"",MAX((IF(K572="X",(J572-I572)*24-0.5,(J572-I572)*24)),Z572))</f>
        <v/>
      </c>
      <c r="M572" s="58"/>
      <c r="N572" s="21" t="str">
        <f t="shared" si="652"/>
        <v/>
      </c>
      <c r="O572" s="21" t="str">
        <f t="shared" si="653"/>
        <v/>
      </c>
      <c r="P572" s="2"/>
      <c r="Q572" s="21"/>
      <c r="R572" s="78">
        <v>0.41666666666666669</v>
      </c>
      <c r="S572" s="78">
        <v>0.41666666666666669</v>
      </c>
      <c r="T572" s="1" t="str">
        <f>IF(Start!$B$6="Ja","",IF(((S572-R572)*24)&gt;=5.5,"X",""))</f>
        <v/>
      </c>
      <c r="U572" s="1" t="str">
        <f t="shared" ref="U572:U573" si="658">IF(AND((S572-R572)=0,AB572=""),"",MAX((IF(T572="X",(S572-R572)*24-0.5,(S572-R572)*24)),AB572))</f>
        <v/>
      </c>
      <c r="V572" s="58"/>
      <c r="W572" s="21" t="str">
        <f t="shared" si="654"/>
        <v/>
      </c>
      <c r="X572" s="21" t="str">
        <f t="shared" si="655"/>
        <v/>
      </c>
      <c r="Z572" s="70" t="str">
        <f>IF(SUMIFS(TrackingTime!H:H,TrackingTime!F:F,Timer!B572,TrackingTime!C:C,"Hovedkontoret")&gt;0,SUMIFS(TrackingTime!H:H,TrackingTime!F:F,Timer!B572,TrackingTime!C:C,"Hovedkontoret"),"")</f>
        <v/>
      </c>
      <c r="AA572" s="71" t="str">
        <f t="shared" si="607"/>
        <v/>
      </c>
      <c r="AB572" t="str">
        <f>IF(SUMIFS(TrackingTime!H:H,TrackingTime!F:F,Timer!B572,TrackingTime!C:C,Start!$F$3)&gt;0,SUMIFS(TrackingTime!H:H,TrackingTime!F:F,Timer!B572,TrackingTime!C:C,Start!$F$3),"")</f>
        <v/>
      </c>
      <c r="AC572" s="71" t="str">
        <f t="shared" si="611"/>
        <v/>
      </c>
    </row>
    <row r="573" spans="1:29" x14ac:dyDescent="0.25">
      <c r="A573" s="15"/>
      <c r="B573" s="63">
        <f t="shared" si="656"/>
        <v>46348</v>
      </c>
      <c r="C573">
        <f>IFERROR(IF(OR(L573="Fri",L573="Ferie",L573="Syk",L573="Omsorg",B573&lt;Start!$B$7),0,IF(IFERROR(MATCH(B573,Start!A$253:A$273,0),0)&gt;0,VLOOKUP(B573,Start!A$253:F$273,3,FALSE)/100*Start!$B$4,VLOOKUP(WEEKDAY(B573,2),Start!A$240:F$246,4,FALSE))),"")</f>
        <v>0</v>
      </c>
      <c r="D573">
        <f>IFERROR(IF(OR(U573="Fri",U573="Ferie",U573="Syk",U573="Omsorg",B573&lt;Start!$F$7),0,IF(IFERROR(MATCH(B573,Start!A$253:A$273,0),0)&gt;0,VLOOKUP(B573,Start!A$253:F$273,3,FALSE)/100*Start!$F$4,VLOOKUP(WEEKDAY(B573,2),Start!A$240:F$246,6,FALSE))),"")</f>
        <v>0</v>
      </c>
      <c r="E573">
        <f t="shared" ca="1" si="632"/>
        <v>0</v>
      </c>
      <c r="F573">
        <f>IFERROR(IF(YEAR(B573)=Start!$B$1,MONTH(B573),""),"")</f>
        <v>11</v>
      </c>
      <c r="G573" s="64" t="str">
        <f>IFERROR(VLOOKUP(B573,Start!A$111:B$273,2,FALSE),"")</f>
        <v/>
      </c>
      <c r="H573" s="25"/>
      <c r="I573" s="78">
        <v>0.41666666666666669</v>
      </c>
      <c r="J573" s="78">
        <v>0.41666666666666669</v>
      </c>
      <c r="K573" s="1" t="str">
        <f>IF(Start!$B$6="Ja","",IF(((J573-I573)*24)&gt;=5.5,"X",""))</f>
        <v/>
      </c>
      <c r="L573" s="1" t="str">
        <f t="shared" si="657"/>
        <v/>
      </c>
      <c r="M573" s="58"/>
      <c r="N573" s="21" t="str">
        <f t="shared" si="652"/>
        <v/>
      </c>
      <c r="O573" s="21" t="str">
        <f t="shared" si="653"/>
        <v/>
      </c>
      <c r="Q573" s="25"/>
      <c r="R573" s="78">
        <v>0.41666666666666669</v>
      </c>
      <c r="S573" s="78">
        <v>0.41666666666666669</v>
      </c>
      <c r="T573" s="1" t="str">
        <f>IF(Start!$B$6="Ja","",IF(((S573-R573)*24)&gt;=5.5,"X",""))</f>
        <v/>
      </c>
      <c r="U573" s="1" t="str">
        <f t="shared" si="658"/>
        <v/>
      </c>
      <c r="V573" s="58"/>
      <c r="W573" s="21" t="str">
        <f t="shared" si="654"/>
        <v/>
      </c>
      <c r="X573" s="21" t="str">
        <f t="shared" si="655"/>
        <v/>
      </c>
      <c r="Z573" s="70" t="str">
        <f>IF(SUMIFS(TrackingTime!H:H,TrackingTime!F:F,Timer!B573,TrackingTime!C:C,"Hovedkontoret")&gt;0,SUMIFS(TrackingTime!H:H,TrackingTime!F:F,Timer!B573,TrackingTime!C:C,"Hovedkontoret"),"")</f>
        <v/>
      </c>
      <c r="AA573" s="71" t="str">
        <f t="shared" si="607"/>
        <v/>
      </c>
      <c r="AB573" t="str">
        <f>IF(SUMIFS(TrackingTime!H:H,TrackingTime!F:F,Timer!B573,TrackingTime!C:C,Start!$F$3)&gt;0,SUMIFS(TrackingTime!H:H,TrackingTime!F:F,Timer!B573,TrackingTime!C:C,Start!$F$3),"")</f>
        <v/>
      </c>
      <c r="AC573" s="71" t="str">
        <f t="shared" si="611"/>
        <v/>
      </c>
    </row>
    <row r="574" spans="1:29" x14ac:dyDescent="0.25">
      <c r="A574" s="15"/>
      <c r="B574" s="4" t="s">
        <v>11</v>
      </c>
      <c r="C574" s="24"/>
      <c r="D574" s="24"/>
      <c r="E574" s="24">
        <f t="shared" ca="1" si="632"/>
        <v>0</v>
      </c>
      <c r="F574" s="24" t="str">
        <f>IFERROR(IF(YEAR(B574)=Start!$B$1,MONTH(B574),""),"")</f>
        <v/>
      </c>
      <c r="G574" s="64" t="str">
        <f>IFERROR(VLOOKUP(B574,Start!A$111:B$273,2,FALSE),"")</f>
        <v/>
      </c>
      <c r="H574" s="4"/>
      <c r="I574" s="4"/>
      <c r="J574" s="4"/>
      <c r="K574" s="4"/>
      <c r="L574" s="5">
        <f t="shared" si="600"/>
        <v>0</v>
      </c>
      <c r="N574" s="24"/>
      <c r="O574" s="39">
        <f t="shared" ref="O574" si="659">SUM(O567:O573)</f>
        <v>0</v>
      </c>
      <c r="P574" s="40"/>
      <c r="Q574" s="41"/>
      <c r="R574" s="4"/>
      <c r="S574" s="4"/>
      <c r="T574" s="4"/>
      <c r="U574" s="5">
        <f t="shared" ref="U574" si="660">SUM($U567:$U573)</f>
        <v>0</v>
      </c>
      <c r="V574" s="58"/>
      <c r="W574" s="39"/>
      <c r="X574" s="39">
        <f t="shared" si="603"/>
        <v>0</v>
      </c>
      <c r="Z574" s="70" t="str">
        <f>IF(SUMIFS(TrackingTime!H:H,TrackingTime!F:F,Timer!B574,TrackingTime!C:C,"Hovedkontoret")&gt;0,SUMIFS(TrackingTime!H:H,TrackingTime!F:F,Timer!B574,TrackingTime!C:C,"Hovedkontoret"),"")</f>
        <v/>
      </c>
      <c r="AA574" s="71" t="str">
        <f t="shared" si="607"/>
        <v/>
      </c>
      <c r="AB574" t="str">
        <f>IF(SUMIFS(TrackingTime!H:H,TrackingTime!F:F,Timer!B574,TrackingTime!C:C,Start!$F$3)&gt;0,SUMIFS(TrackingTime!H:H,TrackingTime!F:F,Timer!B574,TrackingTime!C:C,Start!$F$3),"")</f>
        <v/>
      </c>
      <c r="AC574" s="71" t="str">
        <f t="shared" si="611"/>
        <v/>
      </c>
    </row>
    <row r="575" spans="1:29" x14ac:dyDescent="0.25">
      <c r="A575" s="15"/>
      <c r="B575" t="s">
        <v>90</v>
      </c>
      <c r="E575">
        <f t="shared" ca="1" si="632"/>
        <v>0</v>
      </c>
      <c r="F575" t="str">
        <f>IFERROR(IF(YEAR(B575)=Start!$B$1,MONTH(B575),""),"")</f>
        <v/>
      </c>
      <c r="G575" s="64" t="str">
        <f>IFERROR(VLOOKUP(B575,Start!A$111:B$273,2,FALSE),"")</f>
        <v/>
      </c>
      <c r="L575" s="1">
        <f t="shared" si="604"/>
        <v>0</v>
      </c>
      <c r="M575" s="1"/>
      <c r="N575" s="1"/>
      <c r="O575" s="21">
        <f t="shared" ref="O575" si="661">L575</f>
        <v>0</v>
      </c>
      <c r="P575" s="40"/>
      <c r="Q575" s="21"/>
      <c r="U575" s="1">
        <f t="shared" ref="U575" si="662">SUMIFS(D567:D573,F567:F573,"&gt;0")</f>
        <v>0</v>
      </c>
      <c r="V575" s="1"/>
      <c r="W575" s="1"/>
      <c r="X575" s="21">
        <f>U575</f>
        <v>0</v>
      </c>
      <c r="Z575" s="70" t="str">
        <f>IF(SUMIFS(TrackingTime!H:H,TrackingTime!F:F,Timer!B575,TrackingTime!C:C,"Hovedkontoret")&gt;0,SUMIFS(TrackingTime!H:H,TrackingTime!F:F,Timer!B575,TrackingTime!C:C,"Hovedkontoret"),"")</f>
        <v/>
      </c>
      <c r="AA575" s="71" t="str">
        <f t="shared" si="607"/>
        <v/>
      </c>
      <c r="AB575" t="str">
        <f>IF(SUMIFS(TrackingTime!H:H,TrackingTime!F:F,Timer!B575,TrackingTime!C:C,Start!$F$3)&gt;0,SUMIFS(TrackingTime!H:H,TrackingTime!F:F,Timer!B575,TrackingTime!C:C,Start!$F$3),"")</f>
        <v/>
      </c>
      <c r="AC575" s="71" t="str">
        <f t="shared" si="611"/>
        <v/>
      </c>
    </row>
    <row r="576" spans="1:29" x14ac:dyDescent="0.25">
      <c r="A576" s="16">
        <f>B573-B567-1</f>
        <v>5</v>
      </c>
      <c r="B576" t="s">
        <v>117</v>
      </c>
      <c r="E576">
        <f t="shared" ca="1" si="632"/>
        <v>0</v>
      </c>
      <c r="F576" t="str">
        <f>IFERROR(IF(YEAR(B576)=Start!$B$1,MONTH(B576),""),"")</f>
        <v/>
      </c>
      <c r="G576" s="64" t="str">
        <f>IFERROR(VLOOKUP(B576,Start!A$111:B$273,2,FALSE),"")</f>
        <v/>
      </c>
      <c r="L576" s="77">
        <f t="shared" ca="1" si="608"/>
        <v>0</v>
      </c>
      <c r="O576" s="21">
        <f t="shared" ref="O576" si="663">O574-O575</f>
        <v>0</v>
      </c>
      <c r="P576" s="21"/>
      <c r="Q576" s="21"/>
      <c r="U576" s="1">
        <f t="shared" ref="U576" ca="1" si="664">U574-U575*(IF(NETWORKDAYS($B567,TODAY())&lt;0,0,IF(NETWORKDAYS($B567,TODAY())&lt;=$A576,NETWORKDAYS($B567,TODAY()),$A576)))/$A576</f>
        <v>0</v>
      </c>
      <c r="V576" s="58"/>
      <c r="W576" s="21"/>
      <c r="X576" s="21">
        <f>X574-X575</f>
        <v>0</v>
      </c>
      <c r="Z576" s="70" t="str">
        <f>IF(SUMIFS(TrackingTime!H:H,TrackingTime!F:F,Timer!B576,TrackingTime!C:C,"Hovedkontoret")&gt;0,SUMIFS(TrackingTime!H:H,TrackingTime!F:F,Timer!B576,TrackingTime!C:C,"Hovedkontoret"),"")</f>
        <v/>
      </c>
      <c r="AA576" s="71" t="str">
        <f t="shared" si="607"/>
        <v/>
      </c>
      <c r="AB576" t="str">
        <f>IF(SUMIFS(TrackingTime!H:H,TrackingTime!F:F,Timer!B576,TrackingTime!C:C,Start!$F$3)&gt;0,SUMIFS(TrackingTime!H:H,TrackingTime!F:F,Timer!B576,TrackingTime!C:C,Start!$F$3),"")</f>
        <v/>
      </c>
      <c r="AC576" s="71" t="str">
        <f t="shared" si="611"/>
        <v/>
      </c>
    </row>
    <row r="577" spans="1:29" x14ac:dyDescent="0.25">
      <c r="A577" s="15"/>
      <c r="E577">
        <f t="shared" ca="1" si="632"/>
        <v>1</v>
      </c>
      <c r="F577" t="str">
        <f>IFERROR(IF(YEAR(B577)=Start!$B$1,MONTH(B577),""),"")</f>
        <v/>
      </c>
      <c r="G577" s="64" t="str">
        <f>IFERROR(VLOOKUP(B577,Start!A$111:B$273,2,FALSE),"")</f>
        <v/>
      </c>
      <c r="O577" s="2"/>
      <c r="P577" s="2"/>
      <c r="U577" s="1"/>
      <c r="V577" s="7"/>
      <c r="X577" s="2"/>
      <c r="Z577" s="70" t="str">
        <f>IF(SUMIFS(TrackingTime!H:H,TrackingTime!F:F,Timer!B577,TrackingTime!C:C,"Hovedkontoret")&gt;0,SUMIFS(TrackingTime!H:H,TrackingTime!F:F,Timer!B577,TrackingTime!C:C,"Hovedkontoret"),"")</f>
        <v/>
      </c>
      <c r="AA577" s="71" t="str">
        <f t="shared" si="607"/>
        <v/>
      </c>
      <c r="AB577" t="str">
        <f>IF(SUMIFS(TrackingTime!H:H,TrackingTime!F:F,Timer!B577,TrackingTime!C:C,Start!$F$3)&gt;0,SUMIFS(TrackingTime!H:H,TrackingTime!F:F,Timer!B577,TrackingTime!C:C,Start!$F$3),"")</f>
        <v/>
      </c>
      <c r="AC577" s="71" t="str">
        <f t="shared" si="611"/>
        <v/>
      </c>
    </row>
    <row r="578" spans="1:29" x14ac:dyDescent="0.25">
      <c r="A578" s="2" t="s">
        <v>82</v>
      </c>
      <c r="B578" s="14" t="s">
        <v>83</v>
      </c>
      <c r="E578">
        <f t="shared" ca="1" si="632"/>
        <v>0</v>
      </c>
      <c r="F578" t="str">
        <f>IFERROR(IF(YEAR(B578)=Start!$B$1,MONTH(B578),""),"")</f>
        <v/>
      </c>
      <c r="G578" s="64" t="str">
        <f>IFERROR(VLOOKUP(B578,Start!A$111:B$273,2,FALSE),"")</f>
        <v/>
      </c>
      <c r="H578" s="2" t="s">
        <v>86</v>
      </c>
      <c r="I578" s="2" t="s">
        <v>125</v>
      </c>
      <c r="J578" s="2" t="s">
        <v>126</v>
      </c>
      <c r="K578" s="2" t="s">
        <v>127</v>
      </c>
      <c r="L578" s="3" t="s">
        <v>87</v>
      </c>
      <c r="M578" s="6"/>
      <c r="N578" s="2" t="s">
        <v>88</v>
      </c>
      <c r="O578" s="2" t="s">
        <v>89</v>
      </c>
      <c r="P578" s="2"/>
      <c r="Q578" s="2" t="s">
        <v>86</v>
      </c>
      <c r="R578" s="2" t="s">
        <v>125</v>
      </c>
      <c r="S578" s="2" t="s">
        <v>126</v>
      </c>
      <c r="T578" s="2" t="s">
        <v>127</v>
      </c>
      <c r="U578" s="3" t="s">
        <v>87</v>
      </c>
      <c r="V578" s="6"/>
      <c r="W578" s="2" t="s">
        <v>88</v>
      </c>
      <c r="X578" s="2" t="s">
        <v>89</v>
      </c>
      <c r="Z578" s="70" t="str">
        <f>IF(SUMIFS(TrackingTime!H:H,TrackingTime!F:F,Timer!B578,TrackingTime!C:C,"Hovedkontoret")&gt;0,SUMIFS(TrackingTime!H:H,TrackingTime!F:F,Timer!B578,TrackingTime!C:C,"Hovedkontoret"),"")</f>
        <v/>
      </c>
      <c r="AA578" s="71" t="str">
        <f t="shared" si="607"/>
        <v/>
      </c>
      <c r="AB578" t="str">
        <f>IF(SUMIFS(TrackingTime!H:H,TrackingTime!F:F,Timer!B578,TrackingTime!C:C,Start!$F$3)&gt;0,SUMIFS(TrackingTime!H:H,TrackingTime!F:F,Timer!B578,TrackingTime!C:C,Start!$F$3),"")</f>
        <v/>
      </c>
      <c r="AC578" s="71" t="str">
        <f t="shared" si="611"/>
        <v/>
      </c>
    </row>
    <row r="579" spans="1:29" x14ac:dyDescent="0.25">
      <c r="A579" s="15">
        <f>WEEKNUM(B579,21)</f>
        <v>48</v>
      </c>
      <c r="B579" s="63">
        <f>B573+(DAY(1))</f>
        <v>46349</v>
      </c>
      <c r="C579" t="str">
        <f>IFERROR(IF(OR(L579="Fri",L579="Ferie",L579="Syk",L579="Omsorg",B579&lt;Start!$B$7),0,IF(IFERROR(MATCH(B579,Start!A$253:A$273,0),0)&gt;0,VLOOKUP(B579,Start!A$253:F$273,3,FALSE)/100*Start!$B$4,VLOOKUP(WEEKDAY(B579,2),Start!A$240:F$246,4,FALSE))),"")</f>
        <v/>
      </c>
      <c r="D579" t="str">
        <f>IFERROR(IF(OR(U579="Fri",U579="Ferie",U579="Syk",U579="Omsorg",B579&lt;Start!$F$7),0,IF(IFERROR(MATCH(B579,Start!A$253:A$273,0),0)&gt;0,VLOOKUP(B579,Start!A$253:F$273,3,FALSE)/100*Start!$F$4,VLOOKUP(WEEKDAY(B579,2),Start!A$240:F$246,6,FALSE))),"")</f>
        <v/>
      </c>
      <c r="E579">
        <f t="shared" ca="1" si="632"/>
        <v>0</v>
      </c>
      <c r="F579">
        <f>IFERROR(IF(YEAR(B579)=Start!$B$1,MONTH(B579),""),"")</f>
        <v>11</v>
      </c>
      <c r="G579" s="64" t="str">
        <f>IFERROR(VLOOKUP(B579,Start!A$111:B$273,2,FALSE),"")</f>
        <v/>
      </c>
      <c r="H579" s="21"/>
      <c r="I579" s="78">
        <v>0.33333333333333331</v>
      </c>
      <c r="J579" s="78">
        <v>0.33333333333333331</v>
      </c>
      <c r="K579" s="1" t="str">
        <f>IF(Start!$B$6="Ja","",IF(((J579-I579)*24)&gt;=5.5,"X",""))</f>
        <v/>
      </c>
      <c r="L579" s="1" t="str">
        <f>IF(_xlfn.IFNA(MATCH($A579,Start!$H$3:$H$11,0),0)&gt;0,"Ferie",IFERROR(IF(VLOOKUP(B579,Start!A$165:B$234,2,FALSE)&gt;0,"Fri",0),IF(AND((J579-I579)=0,Z579=""),"",MAX((IF(K579="X",(J579-I579)*24-0.5,(J579-I579)*24)),Z579))))</f>
        <v/>
      </c>
      <c r="M579" s="58"/>
      <c r="N579" s="21" t="str">
        <f t="shared" ref="N579:N585" si="665">IF(H579=0,"",H579)</f>
        <v/>
      </c>
      <c r="O579" s="21" t="str">
        <f t="shared" ref="O579:O585" si="666">IF(L579=0,"",L579)</f>
        <v/>
      </c>
      <c r="P579" s="2"/>
      <c r="Q579" s="21"/>
      <c r="R579" s="78">
        <v>0.33333333333333331</v>
      </c>
      <c r="S579" s="78">
        <v>0.33333333333333331</v>
      </c>
      <c r="T579" s="1" t="str">
        <f>IF(Start!$B$6="Ja","",IF(((S579-R579)*24)&gt;=5.5,"X",""))</f>
        <v/>
      </c>
      <c r="U579" s="1" t="str">
        <f>IF(_xlfn.IFNA(MATCH($A$15,Start!$H$3:$H$11,0),0)&gt;0,"Ferie",(IF(L579="fri","Fri",(IF(L579="syk","Syk",IF(L579="Ferie","Ferie",IF(AND((S579-R579)=0,AB579=""),"",MAX((IF(T579="X",(S579-R579)*24-0.5,(S579-R579)*24)),AB579))))))))</f>
        <v/>
      </c>
      <c r="V579" s="58"/>
      <c r="W579" s="21" t="str">
        <f t="shared" ref="W579:W585" si="667">IF(Q579=0,"",Q579)</f>
        <v/>
      </c>
      <c r="X579" s="21" t="str">
        <f t="shared" ref="X579:X585" si="668">IF(U579=0,"",U579)</f>
        <v/>
      </c>
      <c r="Z579" s="70" t="str">
        <f>IF(SUMIFS(TrackingTime!H:H,TrackingTime!F:F,Timer!B579,TrackingTime!C:C,"Hovedkontoret")&gt;0,SUMIFS(TrackingTime!H:H,TrackingTime!F:F,Timer!B579,TrackingTime!C:C,"Hovedkontoret"),"")</f>
        <v/>
      </c>
      <c r="AA579" s="71" t="str">
        <f t="shared" si="607"/>
        <v/>
      </c>
      <c r="AB579" t="str">
        <f>IF(SUMIFS(TrackingTime!H:H,TrackingTime!F:F,Timer!B579,TrackingTime!C:C,Start!$F$3)&gt;0,SUMIFS(TrackingTime!H:H,TrackingTime!F:F,Timer!B579,TrackingTime!C:C,Start!$F$3),"")</f>
        <v/>
      </c>
      <c r="AC579" s="71" t="str">
        <f t="shared" si="611"/>
        <v/>
      </c>
    </row>
    <row r="580" spans="1:29" x14ac:dyDescent="0.25">
      <c r="A580" s="15"/>
      <c r="B580" s="63">
        <f t="shared" ref="B580:B585" si="669">B579+DAY(1)</f>
        <v>46350</v>
      </c>
      <c r="C580" t="str">
        <f>IFERROR(IF(OR(L580="Fri",L580="Ferie",L580="Syk",L580="Omsorg",B580&lt;Start!$B$7),0,IF(IFERROR(MATCH(B580,Start!A$253:A$273,0),0)&gt;0,VLOOKUP(B580,Start!A$253:F$273,3,FALSE)/100*Start!$B$4,VLOOKUP(WEEKDAY(B580,2),Start!A$240:F$246,4,FALSE))),"")</f>
        <v/>
      </c>
      <c r="D580" t="str">
        <f>IFERROR(IF(OR(U580="Fri",U580="Ferie",U580="Syk",U580="Omsorg",B580&lt;Start!$F$7),0,IF(IFERROR(MATCH(B580,Start!A$253:A$273,0),0)&gt;0,VLOOKUP(B580,Start!A$253:F$273,3,FALSE)/100*Start!$F$4,VLOOKUP(WEEKDAY(B580,2),Start!A$240:F$246,6,FALSE))),"")</f>
        <v/>
      </c>
      <c r="E580">
        <f t="shared" ca="1" si="632"/>
        <v>0</v>
      </c>
      <c r="F580">
        <f>IFERROR(IF(YEAR(B580)=Start!$B$1,MONTH(B580),""),"")</f>
        <v>11</v>
      </c>
      <c r="G580" s="64" t="str">
        <f>IFERROR(VLOOKUP(B580,Start!A$111:B$273,2,FALSE),"")</f>
        <v/>
      </c>
      <c r="H580" s="21"/>
      <c r="I580" s="78">
        <v>0.33333333333333331</v>
      </c>
      <c r="J580" s="78">
        <v>0.33333333333333331</v>
      </c>
      <c r="K580" s="1" t="str">
        <f>IF(Start!$B$6="Ja","",IF(((J580-I580)*24)&gt;=5.5,"X",""))</f>
        <v/>
      </c>
      <c r="L580" s="1" t="str">
        <f>IF(_xlfn.IFNA(MATCH($A579,Start!$H$3:$H$11,0),0)&gt;0,"Ferie",IFERROR(IF(VLOOKUP($B580,Start!$A$165:$B$234,2,FALSE)&gt;0,"Fri",0),IF(AND((J580-I580)=0,Z580=""),"",MAX((IF(K580="X",(J580-I580)*24-0.5,(J580-I580)*24)),Z580))))</f>
        <v/>
      </c>
      <c r="M580" s="58"/>
      <c r="N580" s="21" t="str">
        <f t="shared" si="665"/>
        <v/>
      </c>
      <c r="O580" s="21" t="str">
        <f t="shared" si="666"/>
        <v/>
      </c>
      <c r="P580" s="2"/>
      <c r="Q580" s="21"/>
      <c r="R580" s="78">
        <v>0.33333333333333331</v>
      </c>
      <c r="S580" s="78">
        <v>0.33333333333333331</v>
      </c>
      <c r="T580" s="1" t="str">
        <f>IF(Start!$B$6="Ja","",IF(((S580-R580)*24)&gt;=5.5,"X",""))</f>
        <v/>
      </c>
      <c r="U580" s="1" t="str">
        <f>IF(_xlfn.IFNA(MATCH($A$15,Start!$H$3:$H$11,0),0)&gt;0,"Ferie",(IF(L580="fri","Fri",(IF(L580="syk","Syk",IF(L580="Ferie","Ferie",IF(AND((S580-R580)=0,AB580=""),"",MAX((IF(T580="X",(S580-R580)*24-0.5,(S580-R580)*24)),AB580))))))))</f>
        <v/>
      </c>
      <c r="V580" s="58"/>
      <c r="W580" s="21" t="str">
        <f t="shared" si="667"/>
        <v/>
      </c>
      <c r="X580" s="21" t="str">
        <f t="shared" si="668"/>
        <v/>
      </c>
      <c r="Z580" s="70" t="str">
        <f>IF(SUMIFS(TrackingTime!H:H,TrackingTime!F:F,Timer!B580,TrackingTime!C:C,"Hovedkontoret")&gt;0,SUMIFS(TrackingTime!H:H,TrackingTime!F:F,Timer!B580,TrackingTime!C:C,"Hovedkontoret"),"")</f>
        <v/>
      </c>
      <c r="AA580" s="71" t="str">
        <f t="shared" si="607"/>
        <v/>
      </c>
      <c r="AB580" t="str">
        <f>IF(SUMIFS(TrackingTime!H:H,TrackingTime!F:F,Timer!B580,TrackingTime!C:C,Start!$F$3)&gt;0,SUMIFS(TrackingTime!H:H,TrackingTime!F:F,Timer!B580,TrackingTime!C:C,Start!$F$3),"")</f>
        <v/>
      </c>
      <c r="AC580" s="71" t="str">
        <f t="shared" si="611"/>
        <v/>
      </c>
    </row>
    <row r="581" spans="1:29" x14ac:dyDescent="0.25">
      <c r="A581" s="15"/>
      <c r="B581" s="63">
        <f t="shared" si="669"/>
        <v>46351</v>
      </c>
      <c r="C581" t="str">
        <f>IFERROR(IF(OR(L581="Fri",L581="Ferie",L581="Syk",L581="Omsorg",B581&lt;Start!$B$7),0,IF(IFERROR(MATCH(B581,Start!A$253:A$273,0),0)&gt;0,VLOOKUP(B581,Start!A$253:F$273,3,FALSE)/100*Start!$B$4,VLOOKUP(WEEKDAY(B581,2),Start!A$240:F$246,4,FALSE))),"")</f>
        <v/>
      </c>
      <c r="D581" t="str">
        <f>IFERROR(IF(OR(U581="Fri",U581="Ferie",U581="Syk",U581="Omsorg",B581&lt;Start!$F$7),0,IF(IFERROR(MATCH(B581,Start!A$253:A$273,0),0)&gt;0,VLOOKUP(B581,Start!A$253:F$273,3,FALSE)/100*Start!$F$4,VLOOKUP(WEEKDAY(B581,2),Start!A$240:F$246,6,FALSE))),"")</f>
        <v/>
      </c>
      <c r="E581">
        <f t="shared" ca="1" si="632"/>
        <v>0</v>
      </c>
      <c r="F581">
        <f>IFERROR(IF(YEAR(B581)=Start!$B$1,MONTH(B581),""),"")</f>
        <v>11</v>
      </c>
      <c r="G581" s="64" t="str">
        <f>IFERROR(VLOOKUP(B581,Start!A$111:B$273,2,FALSE),"")</f>
        <v/>
      </c>
      <c r="H581" s="21"/>
      <c r="I581" s="78">
        <v>0.33333333333333331</v>
      </c>
      <c r="J581" s="78">
        <v>0.33333333333333331</v>
      </c>
      <c r="K581" s="1" t="str">
        <f>IF(Start!$B$6="Ja","",IF(((J581-I581)*24)&gt;=5.5,"X",""))</f>
        <v/>
      </c>
      <c r="L581" s="1" t="str">
        <f>IF(_xlfn.IFNA(MATCH($A579,Start!$H$3:$H$11,0),0)&gt;0,"Ferie",IFERROR(IF(VLOOKUP(B581,Start!A$165:B$234,2,FALSE)&gt;0,"Fri",0),IF(AND((J581-I581)=0,Z581=""),"",MAX((IF(K581="X",(J581-I581)*24-0.5,(J581-I581)*24)),Z581))))</f>
        <v/>
      </c>
      <c r="M581" s="58"/>
      <c r="N581" s="21" t="str">
        <f t="shared" si="665"/>
        <v/>
      </c>
      <c r="O581" s="21" t="str">
        <f t="shared" si="666"/>
        <v/>
      </c>
      <c r="P581" s="2"/>
      <c r="Q581" s="21"/>
      <c r="R581" s="78">
        <v>0.33333333333333331</v>
      </c>
      <c r="S581" s="78">
        <v>0.33333333333333331</v>
      </c>
      <c r="T581" s="1" t="str">
        <f>IF(Start!$B$6="Ja","",IF(((S581-R581)*24)&gt;=5.5,"X",""))</f>
        <v/>
      </c>
      <c r="U581" s="1" t="str">
        <f>IF(_xlfn.IFNA(MATCH($A$15,Start!$H$3:$H$11,0),0)&gt;0,"Ferie",(IF(L581="fri","Fri",(IF(L581="syk","Syk",IF(L581="Ferie","Ferie",IF(AND((S581-R581)=0,AB581=""),"",MAX((IF(T581="X",(S581-R581)*24-0.5,(S581-R581)*24)),AB581))))))))</f>
        <v/>
      </c>
      <c r="V581" s="58"/>
      <c r="W581" s="21" t="str">
        <f t="shared" si="667"/>
        <v/>
      </c>
      <c r="X581" s="21" t="str">
        <f t="shared" si="668"/>
        <v/>
      </c>
      <c r="Z581" s="70" t="str">
        <f>IF(SUMIFS(TrackingTime!H:H,TrackingTime!F:F,Timer!B581,TrackingTime!C:C,"Hovedkontoret")&gt;0,SUMIFS(TrackingTime!H:H,TrackingTime!F:F,Timer!B581,TrackingTime!C:C,"Hovedkontoret"),"")</f>
        <v/>
      </c>
      <c r="AA581" s="71" t="str">
        <f t="shared" si="607"/>
        <v/>
      </c>
      <c r="AB581" t="str">
        <f>IF(SUMIFS(TrackingTime!H:H,TrackingTime!F:F,Timer!B581,TrackingTime!C:C,Start!$F$3)&gt;0,SUMIFS(TrackingTime!H:H,TrackingTime!F:F,Timer!B581,TrackingTime!C:C,Start!$F$3),"")</f>
        <v/>
      </c>
      <c r="AC581" s="71" t="str">
        <f t="shared" si="611"/>
        <v/>
      </c>
    </row>
    <row r="582" spans="1:29" x14ac:dyDescent="0.25">
      <c r="A582" s="15"/>
      <c r="B582" s="63">
        <f t="shared" si="669"/>
        <v>46352</v>
      </c>
      <c r="C582" t="str">
        <f>IFERROR(IF(OR(L582="Fri",L582="Ferie",L582="Syk",L582="Omsorg",B582&lt;Start!$B$7),0,IF(IFERROR(MATCH(B582,Start!A$253:A$273,0),0)&gt;0,VLOOKUP(B582,Start!A$253:F$273,3,FALSE)/100*Start!$B$4,VLOOKUP(WEEKDAY(B582,2),Start!A$240:F$246,4,FALSE))),"")</f>
        <v/>
      </c>
      <c r="D582" t="str">
        <f>IFERROR(IF(OR(U582="Fri",U582="Ferie",U582="Syk",U582="Omsorg",B582&lt;Start!$F$7),0,IF(IFERROR(MATCH(B582,Start!A$253:A$273,0),0)&gt;0,VLOOKUP(B582,Start!A$253:F$273,3,FALSE)/100*Start!$F$4,VLOOKUP(WEEKDAY(B582,2),Start!A$240:F$246,6,FALSE))),"")</f>
        <v/>
      </c>
      <c r="E582">
        <f t="shared" ca="1" si="632"/>
        <v>0</v>
      </c>
      <c r="F582">
        <f>IFERROR(IF(YEAR(B582)=Start!$B$1,MONTH(B582),""),"")</f>
        <v>11</v>
      </c>
      <c r="G582" s="64" t="str">
        <f>IFERROR(VLOOKUP(B582,Start!A$111:B$273,2,FALSE),"")</f>
        <v/>
      </c>
      <c r="H582" s="21"/>
      <c r="I582" s="78">
        <v>0.33333333333333331</v>
      </c>
      <c r="J582" s="78">
        <v>0.33333333333333331</v>
      </c>
      <c r="K582" s="1" t="str">
        <f>IF(Start!$B$6="Ja","",IF(((J582-I582)*24)&gt;=5.5,"X",""))</f>
        <v/>
      </c>
      <c r="L582" s="1" t="str">
        <f>IF(_xlfn.IFNA(MATCH($A579,Start!$H$3:$H$11,0),0)&gt;0,"Ferie",IFERROR(IF(VLOOKUP(B582,Start!A$165:B$234,2,FALSE)&gt;0,"Fri",0),IF(AND((J582-I582)=0,Z582=""),"",MAX((IF(K582="X",(J582-I582)*24-0.5,(J582-I582)*24)),Z582))))</f>
        <v/>
      </c>
      <c r="M582" s="58"/>
      <c r="N582" s="21" t="str">
        <f t="shared" si="665"/>
        <v/>
      </c>
      <c r="O582" s="21" t="str">
        <f t="shared" si="666"/>
        <v/>
      </c>
      <c r="P582" s="2"/>
      <c r="Q582" s="21"/>
      <c r="R582" s="78">
        <v>0.33333333333333331</v>
      </c>
      <c r="S582" s="78">
        <v>0.33333333333333331</v>
      </c>
      <c r="T582" s="1" t="str">
        <f>IF(Start!$B$6="Ja","",IF(((S582-R582)*24)&gt;=5.5,"X",""))</f>
        <v/>
      </c>
      <c r="U582" s="1" t="str">
        <f>IF(_xlfn.IFNA(MATCH($A$15,Start!$H$3:$H$11,0),0)&gt;0,"Ferie",(IF(L582="fri","Fri",(IF(L582="syk","Syk",IF(L582="Ferie","Ferie",IF(AND((S582-R582)=0,AB582=""),"",MAX((IF(T582="X",(S582-R582)*24-0.5,(S582-R582)*24)),AB582))))))))</f>
        <v/>
      </c>
      <c r="V582" s="58"/>
      <c r="W582" s="21" t="str">
        <f t="shared" si="667"/>
        <v/>
      </c>
      <c r="X582" s="21" t="str">
        <f t="shared" si="668"/>
        <v/>
      </c>
      <c r="Z582" s="70" t="str">
        <f>IF(SUMIFS(TrackingTime!H:H,TrackingTime!F:F,Timer!B582,TrackingTime!C:C,"Hovedkontoret")&gt;0,SUMIFS(TrackingTime!H:H,TrackingTime!F:F,Timer!B582,TrackingTime!C:C,"Hovedkontoret"),"")</f>
        <v/>
      </c>
      <c r="AA582" s="71" t="str">
        <f t="shared" si="607"/>
        <v/>
      </c>
      <c r="AB582" t="str">
        <f>IF(SUMIFS(TrackingTime!H:H,TrackingTime!F:F,Timer!B582,TrackingTime!C:C,Start!$F$3)&gt;0,SUMIFS(TrackingTime!H:H,TrackingTime!F:F,Timer!B582,TrackingTime!C:C,Start!$F$3),"")</f>
        <v/>
      </c>
      <c r="AC582" s="71" t="str">
        <f t="shared" si="611"/>
        <v/>
      </c>
    </row>
    <row r="583" spans="1:29" x14ac:dyDescent="0.25">
      <c r="A583" s="15"/>
      <c r="B583" s="63">
        <f t="shared" si="669"/>
        <v>46353</v>
      </c>
      <c r="C583" t="str">
        <f>IFERROR(IF(OR(L583="Fri",L583="Ferie",L583="Syk",L583="Omsorg",B583&lt;Start!$B$7),0,IF(IFERROR(MATCH(B583,Start!A$253:A$273,0),0)&gt;0,VLOOKUP(B583,Start!A$253:F$273,3,FALSE)/100*Start!$B$4,VLOOKUP(WEEKDAY(B583,2),Start!A$240:F$246,4,FALSE))),"")</f>
        <v/>
      </c>
      <c r="D583" t="str">
        <f>IFERROR(IF(OR(U583="Fri",U583="Ferie",U583="Syk",U583="Omsorg",B583&lt;Start!$F$7),0,IF(IFERROR(MATCH(B583,Start!A$253:A$273,0),0)&gt;0,VLOOKUP(B583,Start!A$253:F$273,3,FALSE)/100*Start!$F$4,VLOOKUP(WEEKDAY(B583,2),Start!A$240:F$246,6,FALSE))),"")</f>
        <v/>
      </c>
      <c r="E583">
        <f t="shared" ca="1" si="632"/>
        <v>0</v>
      </c>
      <c r="F583">
        <f>IFERROR(IF(YEAR(B583)=Start!$B$1,MONTH(B583),""),"")</f>
        <v>11</v>
      </c>
      <c r="G583" s="64" t="str">
        <f>IFERROR(VLOOKUP(B583,Start!A$111:B$273,2,FALSE),"")</f>
        <v/>
      </c>
      <c r="H583" s="21"/>
      <c r="I583" s="78">
        <v>0.33333333333333331</v>
      </c>
      <c r="J583" s="78">
        <v>0.33333333333333331</v>
      </c>
      <c r="K583" s="1" t="str">
        <f>IF(Start!$B$6="Ja","",IF(((J583-I583)*24)&gt;=5.5,"X",""))</f>
        <v/>
      </c>
      <c r="L583" s="1" t="str">
        <f>IF(_xlfn.IFNA(MATCH($A579,Start!$H$3:$H$11,0),0)&gt;0,"Ferie",IFERROR(IF(VLOOKUP(B583,Start!A$165:B$234,2,FALSE)&gt;0,"Fri",0),IF(AND((J583-I583)=0,Z583=""),"",MAX((IF(K583="X",(J583-I583)*24-0.5,(J583-I583)*24)),Z583))))</f>
        <v/>
      </c>
      <c r="M583" s="58"/>
      <c r="N583" s="21" t="str">
        <f t="shared" si="665"/>
        <v/>
      </c>
      <c r="O583" s="21" t="str">
        <f t="shared" si="666"/>
        <v/>
      </c>
      <c r="P583" s="2"/>
      <c r="Q583" s="21"/>
      <c r="R583" s="78">
        <v>0.33333333333333331</v>
      </c>
      <c r="S583" s="78">
        <v>0.33333333333333331</v>
      </c>
      <c r="T583" s="1" t="str">
        <f>IF(Start!$B$6="Ja","",IF(((S583-R583)*24)&gt;=5.5,"X",""))</f>
        <v/>
      </c>
      <c r="U583" s="1" t="str">
        <f>IF(_xlfn.IFNA(MATCH($A$15,Start!$H$3:$H$11,0),0)&gt;0,"Ferie",(IF(L583="fri","Fri",(IF(L583="syk","Syk",IF(L583="Ferie","Ferie",IF(AND((S583-R583)=0,AB583=""),"",MAX((IF(T583="X",(S583-R583)*24-0.5,(S583-R583)*24)),AB583))))))))</f>
        <v/>
      </c>
      <c r="V583" s="58"/>
      <c r="W583" s="21" t="str">
        <f t="shared" si="667"/>
        <v/>
      </c>
      <c r="X583" s="21" t="str">
        <f t="shared" si="668"/>
        <v/>
      </c>
      <c r="Z583" s="70" t="str">
        <f>IF(SUMIFS(TrackingTime!H:H,TrackingTime!F:F,Timer!B583,TrackingTime!C:C,"Hovedkontoret")&gt;0,SUMIFS(TrackingTime!H:H,TrackingTime!F:F,Timer!B583,TrackingTime!C:C,"Hovedkontoret"),"")</f>
        <v/>
      </c>
      <c r="AA583" s="71" t="str">
        <f t="shared" si="607"/>
        <v/>
      </c>
      <c r="AB583" t="str">
        <f>IF(SUMIFS(TrackingTime!H:H,TrackingTime!F:F,Timer!B583,TrackingTime!C:C,Start!$F$3)&gt;0,SUMIFS(TrackingTime!H:H,TrackingTime!F:F,Timer!B583,TrackingTime!C:C,Start!$F$3),"")</f>
        <v/>
      </c>
      <c r="AC583" s="71" t="str">
        <f t="shared" si="611"/>
        <v/>
      </c>
    </row>
    <row r="584" spans="1:29" x14ac:dyDescent="0.25">
      <c r="A584" s="15"/>
      <c r="B584" s="63">
        <f t="shared" si="669"/>
        <v>46354</v>
      </c>
      <c r="C584">
        <f>IFERROR(IF(OR(L584="Fri",L584="Ferie",L584="Syk",L584="Omsorg",B584&lt;Start!$B$7),0,IF(IFERROR(MATCH(B584,Start!A$253:A$273,0),0)&gt;0,VLOOKUP(B584,Start!A$253:F$273,3,FALSE)/100*Start!$B$4,VLOOKUP(WEEKDAY(B584,2),Start!A$240:F$246,4,FALSE))),"")</f>
        <v>0</v>
      </c>
      <c r="D584">
        <f>IFERROR(IF(OR(U584="Fri",U584="Ferie",U584="Syk",U584="Omsorg",B584&lt;Start!$F$7),0,IF(IFERROR(MATCH(B584,Start!A$253:A$273,0),0)&gt;0,VLOOKUP(B584,Start!A$253:F$273,3,FALSE)/100*Start!$F$4,VLOOKUP(WEEKDAY(B584,2),Start!A$240:F$246,6,FALSE))),"")</f>
        <v>0</v>
      </c>
      <c r="E584">
        <f t="shared" ca="1" si="632"/>
        <v>0</v>
      </c>
      <c r="F584">
        <f>IFERROR(IF(YEAR(B584)=Start!$B$1,MONTH(B584),""),"")</f>
        <v>11</v>
      </c>
      <c r="G584" s="64" t="str">
        <f>IFERROR(VLOOKUP(B584,Start!A$111:B$273,2,FALSE),"")</f>
        <v/>
      </c>
      <c r="H584" s="21"/>
      <c r="I584" s="78">
        <v>0.41666666666666669</v>
      </c>
      <c r="J584" s="78">
        <v>0.41666666666666669</v>
      </c>
      <c r="K584" s="1" t="str">
        <f>IF(Start!$B$6="Ja","",IF(((J584-I584)*24)&gt;=5.5,"X",""))</f>
        <v/>
      </c>
      <c r="L584" s="1" t="str">
        <f t="shared" ref="L584:L585" si="670">IF(AND((J584-I584)=0,Z584=""),"",MAX((IF(K584="X",(J584-I584)*24-0.5,(J584-I584)*24)),Z584))</f>
        <v/>
      </c>
      <c r="M584" s="58"/>
      <c r="N584" s="21" t="str">
        <f t="shared" si="665"/>
        <v/>
      </c>
      <c r="O584" s="21" t="str">
        <f t="shared" si="666"/>
        <v/>
      </c>
      <c r="P584" s="2"/>
      <c r="Q584" s="21"/>
      <c r="R584" s="78">
        <v>0.41666666666666669</v>
      </c>
      <c r="S584" s="78">
        <v>0.41666666666666669</v>
      </c>
      <c r="T584" s="1" t="str">
        <f>IF(Start!$B$6="Ja","",IF(((S584-R584)*24)&gt;=5.5,"X",""))</f>
        <v/>
      </c>
      <c r="U584" s="1" t="str">
        <f t="shared" ref="U584:U585" si="671">IF(AND((S584-R584)=0,AB584=""),"",MAX((IF(T584="X",(S584-R584)*24-0.5,(S584-R584)*24)),AB584))</f>
        <v/>
      </c>
      <c r="V584" s="58"/>
      <c r="W584" s="21" t="str">
        <f t="shared" si="667"/>
        <v/>
      </c>
      <c r="X584" s="21" t="str">
        <f t="shared" si="668"/>
        <v/>
      </c>
      <c r="Z584" s="70" t="str">
        <f>IF(SUMIFS(TrackingTime!H:H,TrackingTime!F:F,Timer!B584,TrackingTime!C:C,"Hovedkontoret")&gt;0,SUMIFS(TrackingTime!H:H,TrackingTime!F:F,Timer!B584,TrackingTime!C:C,"Hovedkontoret"),"")</f>
        <v/>
      </c>
      <c r="AA584" s="71" t="str">
        <f t="shared" si="607"/>
        <v/>
      </c>
      <c r="AB584" t="str">
        <f>IF(SUMIFS(TrackingTime!H:H,TrackingTime!F:F,Timer!B584,TrackingTime!C:C,Start!$F$3)&gt;0,SUMIFS(TrackingTime!H:H,TrackingTime!F:F,Timer!B584,TrackingTime!C:C,Start!$F$3),"")</f>
        <v/>
      </c>
      <c r="AC584" s="71" t="str">
        <f t="shared" si="611"/>
        <v/>
      </c>
    </row>
    <row r="585" spans="1:29" x14ac:dyDescent="0.25">
      <c r="A585" s="15"/>
      <c r="B585" s="63">
        <f t="shared" si="669"/>
        <v>46355</v>
      </c>
      <c r="C585">
        <f>IFERROR(IF(OR(L585="Fri",L585="Ferie",L585="Syk",L585="Omsorg",B585&lt;Start!$B$7),0,IF(IFERROR(MATCH(B585,Start!A$253:A$273,0),0)&gt;0,VLOOKUP(B585,Start!A$253:F$273,3,FALSE)/100*Start!$B$4,VLOOKUP(WEEKDAY(B585,2),Start!A$240:F$246,4,FALSE))),"")</f>
        <v>0</v>
      </c>
      <c r="D585">
        <f>IFERROR(IF(OR(U585="Fri",U585="Ferie",U585="Syk",U585="Omsorg",B585&lt;Start!$F$7),0,IF(IFERROR(MATCH(B585,Start!A$253:A$273,0),0)&gt;0,VLOOKUP(B585,Start!A$253:F$273,3,FALSE)/100*Start!$F$4,VLOOKUP(WEEKDAY(B585,2),Start!A$240:F$246,6,FALSE))),"")</f>
        <v>0</v>
      </c>
      <c r="E585">
        <f t="shared" ca="1" si="632"/>
        <v>0</v>
      </c>
      <c r="F585">
        <f>IFERROR(IF(YEAR(B585)=Start!$B$1,MONTH(B585),""),"")</f>
        <v>11</v>
      </c>
      <c r="G585" s="64" t="str">
        <f>IFERROR(VLOOKUP(B585,Start!A$111:B$273,2,FALSE),"")</f>
        <v/>
      </c>
      <c r="H585" s="25"/>
      <c r="I585" s="78">
        <v>0.41666666666666669</v>
      </c>
      <c r="J585" s="78">
        <v>0.41666666666666669</v>
      </c>
      <c r="K585" s="1" t="str">
        <f>IF(Start!$B$6="Ja","",IF(((J585-I585)*24)&gt;=5.5,"X",""))</f>
        <v/>
      </c>
      <c r="L585" s="1" t="str">
        <f t="shared" si="670"/>
        <v/>
      </c>
      <c r="M585" s="58"/>
      <c r="N585" s="21" t="str">
        <f t="shared" si="665"/>
        <v/>
      </c>
      <c r="O585" s="21" t="str">
        <f t="shared" si="666"/>
        <v/>
      </c>
      <c r="Q585" s="25"/>
      <c r="R585" s="78">
        <v>0.41666666666666669</v>
      </c>
      <c r="S585" s="78">
        <v>0.41666666666666669</v>
      </c>
      <c r="T585" s="1" t="str">
        <f>IF(Start!$B$6="Ja","",IF(((S585-R585)*24)&gt;=5.5,"X",""))</f>
        <v/>
      </c>
      <c r="U585" s="1" t="str">
        <f t="shared" si="671"/>
        <v/>
      </c>
      <c r="V585" s="58"/>
      <c r="W585" s="21" t="str">
        <f t="shared" si="667"/>
        <v/>
      </c>
      <c r="X585" s="21" t="str">
        <f t="shared" si="668"/>
        <v/>
      </c>
      <c r="Z585" s="70" t="str">
        <f>IF(SUMIFS(TrackingTime!H:H,TrackingTime!F:F,Timer!B585,TrackingTime!C:C,"Hovedkontoret")&gt;0,SUMIFS(TrackingTime!H:H,TrackingTime!F:F,Timer!B585,TrackingTime!C:C,"Hovedkontoret"),"")</f>
        <v/>
      </c>
      <c r="AA585" s="71" t="str">
        <f t="shared" si="607"/>
        <v/>
      </c>
      <c r="AB585" t="str">
        <f>IF(SUMIFS(TrackingTime!H:H,TrackingTime!F:F,Timer!B585,TrackingTime!C:C,Start!$F$3)&gt;0,SUMIFS(TrackingTime!H:H,TrackingTime!F:F,Timer!B585,TrackingTime!C:C,Start!$F$3),"")</f>
        <v/>
      </c>
      <c r="AC585" s="71" t="str">
        <f t="shared" si="611"/>
        <v/>
      </c>
    </row>
    <row r="586" spans="1:29" x14ac:dyDescent="0.25">
      <c r="A586" s="15"/>
      <c r="B586" s="4" t="s">
        <v>11</v>
      </c>
      <c r="C586" s="24"/>
      <c r="D586" s="24"/>
      <c r="E586" s="24">
        <f t="shared" ca="1" si="632"/>
        <v>0</v>
      </c>
      <c r="F586" s="24" t="str">
        <f>IFERROR(IF(YEAR(B586)=Start!$B$1,MONTH(B586),""),"")</f>
        <v/>
      </c>
      <c r="G586" s="64" t="str">
        <f>IFERROR(VLOOKUP(B586,Start!A$111:B$273,2,FALSE),"")</f>
        <v/>
      </c>
      <c r="H586" s="4"/>
      <c r="I586" s="4"/>
      <c r="J586" s="4"/>
      <c r="K586" s="4"/>
      <c r="L586" s="5">
        <f t="shared" si="600"/>
        <v>0</v>
      </c>
      <c r="N586" s="24"/>
      <c r="O586" s="39">
        <f t="shared" ref="O586" si="672">SUM(O579:O585)</f>
        <v>0</v>
      </c>
      <c r="P586" s="40"/>
      <c r="Q586" s="41"/>
      <c r="R586" s="4"/>
      <c r="S586" s="4"/>
      <c r="T586" s="4"/>
      <c r="U586" s="5">
        <f t="shared" ref="U586" si="673">SUM($U579:$U585)</f>
        <v>0</v>
      </c>
      <c r="V586" s="58"/>
      <c r="W586" s="39"/>
      <c r="X586" s="39">
        <f t="shared" ref="X586:X634" si="674">SUM(X579:X585)</f>
        <v>0</v>
      </c>
      <c r="Z586" s="70" t="str">
        <f>IF(SUMIFS(TrackingTime!H:H,TrackingTime!F:F,Timer!B586,TrackingTime!C:C,"Hovedkontoret")&gt;0,SUMIFS(TrackingTime!H:H,TrackingTime!F:F,Timer!B586,TrackingTime!C:C,"Hovedkontoret"),"")</f>
        <v/>
      </c>
      <c r="AA586" s="71" t="str">
        <f t="shared" si="607"/>
        <v/>
      </c>
      <c r="AB586" t="str">
        <f>IF(SUMIFS(TrackingTime!H:H,TrackingTime!F:F,Timer!B586,TrackingTime!C:C,Start!$F$3)&gt;0,SUMIFS(TrackingTime!H:H,TrackingTime!F:F,Timer!B586,TrackingTime!C:C,Start!$F$3),"")</f>
        <v/>
      </c>
      <c r="AC586" s="71" t="str">
        <f t="shared" si="611"/>
        <v/>
      </c>
    </row>
    <row r="587" spans="1:29" x14ac:dyDescent="0.25">
      <c r="A587" s="15"/>
      <c r="B587" t="s">
        <v>90</v>
      </c>
      <c r="E587">
        <f t="shared" ca="1" si="632"/>
        <v>0</v>
      </c>
      <c r="F587" t="str">
        <f>IFERROR(IF(YEAR(B587)=Start!$B$1,MONTH(B587),""),"")</f>
        <v/>
      </c>
      <c r="G587" s="64" t="str">
        <f>IFERROR(VLOOKUP(B587,Start!A$111:B$273,2,FALSE),"")</f>
        <v/>
      </c>
      <c r="L587" s="1">
        <f t="shared" si="604"/>
        <v>0</v>
      </c>
      <c r="M587" s="1"/>
      <c r="N587" s="1"/>
      <c r="O587" s="21">
        <f t="shared" ref="O587" si="675">L587</f>
        <v>0</v>
      </c>
      <c r="P587" s="40"/>
      <c r="Q587" s="21"/>
      <c r="U587" s="1">
        <f t="shared" ref="U587" si="676">SUMIFS(D579:D585,F579:F585,"&gt;0")</f>
        <v>0</v>
      </c>
      <c r="V587" s="1"/>
      <c r="W587" s="1"/>
      <c r="X587" s="21">
        <f>U587</f>
        <v>0</v>
      </c>
      <c r="Z587" s="70" t="str">
        <f>IF(SUMIFS(TrackingTime!H:H,TrackingTime!F:F,Timer!B587,TrackingTime!C:C,"Hovedkontoret")&gt;0,SUMIFS(TrackingTime!H:H,TrackingTime!F:F,Timer!B587,TrackingTime!C:C,"Hovedkontoret"),"")</f>
        <v/>
      </c>
      <c r="AA587" s="71" t="str">
        <f t="shared" si="607"/>
        <v/>
      </c>
      <c r="AB587" t="str">
        <f>IF(SUMIFS(TrackingTime!H:H,TrackingTime!F:F,Timer!B587,TrackingTime!C:C,Start!$F$3)&gt;0,SUMIFS(TrackingTime!H:H,TrackingTime!F:F,Timer!B587,TrackingTime!C:C,Start!$F$3),"")</f>
        <v/>
      </c>
      <c r="AC587" s="71" t="str">
        <f t="shared" si="611"/>
        <v/>
      </c>
    </row>
    <row r="588" spans="1:29" x14ac:dyDescent="0.25">
      <c r="A588" s="16">
        <f>B585-B579-1</f>
        <v>5</v>
      </c>
      <c r="B588" t="s">
        <v>117</v>
      </c>
      <c r="E588">
        <f t="shared" ca="1" si="632"/>
        <v>0</v>
      </c>
      <c r="F588" t="str">
        <f>IFERROR(IF(YEAR(B588)=Start!$B$1,MONTH(B588),""),"")</f>
        <v/>
      </c>
      <c r="G588" s="64" t="str">
        <f>IFERROR(VLOOKUP(B588,Start!A$111:B$273,2,FALSE),"")</f>
        <v/>
      </c>
      <c r="L588" s="77">
        <f t="shared" ca="1" si="608"/>
        <v>0</v>
      </c>
      <c r="O588" s="21">
        <f t="shared" ref="O588" si="677">O586-O587</f>
        <v>0</v>
      </c>
      <c r="P588" s="21"/>
      <c r="Q588" s="21"/>
      <c r="U588" s="1">
        <f t="shared" ref="U588" ca="1" si="678">U586-U587*(IF(NETWORKDAYS($B579,TODAY())&lt;0,0,IF(NETWORKDAYS($B579,TODAY())&lt;=$A588,NETWORKDAYS($B579,TODAY()),$A588)))/$A588</f>
        <v>0</v>
      </c>
      <c r="V588" s="58"/>
      <c r="W588" s="21"/>
      <c r="X588" s="21">
        <f>X586-X587</f>
        <v>0</v>
      </c>
      <c r="Z588" s="70" t="str">
        <f>IF(SUMIFS(TrackingTime!H:H,TrackingTime!F:F,Timer!B588,TrackingTime!C:C,"Hovedkontoret")&gt;0,SUMIFS(TrackingTime!H:H,TrackingTime!F:F,Timer!B588,TrackingTime!C:C,"Hovedkontoret"),"")</f>
        <v/>
      </c>
      <c r="AA588" s="71" t="str">
        <f t="shared" si="607"/>
        <v/>
      </c>
      <c r="AB588" t="str">
        <f>IF(SUMIFS(TrackingTime!H:H,TrackingTime!F:F,Timer!B588,TrackingTime!C:C,Start!$F$3)&gt;0,SUMIFS(TrackingTime!H:H,TrackingTime!F:F,Timer!B588,TrackingTime!C:C,Start!$F$3),"")</f>
        <v/>
      </c>
      <c r="AC588" s="71" t="str">
        <f t="shared" si="611"/>
        <v/>
      </c>
    </row>
    <row r="589" spans="1:29" x14ac:dyDescent="0.25">
      <c r="A589" s="15"/>
      <c r="E589">
        <f t="shared" ca="1" si="632"/>
        <v>1</v>
      </c>
      <c r="F589" t="str">
        <f>IFERROR(IF(YEAR(B589)=Start!$B$1,MONTH(B589),""),"")</f>
        <v/>
      </c>
      <c r="G589" s="64" t="str">
        <f>IFERROR(VLOOKUP(B589,Start!A$111:B$273,2,FALSE),"")</f>
        <v/>
      </c>
      <c r="O589" s="2"/>
      <c r="P589" s="2"/>
      <c r="U589" s="1"/>
      <c r="V589" s="7"/>
      <c r="X589" s="2"/>
      <c r="Z589" s="70" t="str">
        <f>IF(SUMIFS(TrackingTime!H:H,TrackingTime!F:F,Timer!B589,TrackingTime!C:C,"Hovedkontoret")&gt;0,SUMIFS(TrackingTime!H:H,TrackingTime!F:F,Timer!B589,TrackingTime!C:C,"Hovedkontoret"),"")</f>
        <v/>
      </c>
      <c r="AA589" s="71" t="str">
        <f t="shared" si="607"/>
        <v/>
      </c>
      <c r="AB589" t="str">
        <f>IF(SUMIFS(TrackingTime!H:H,TrackingTime!F:F,Timer!B589,TrackingTime!C:C,Start!$F$3)&gt;0,SUMIFS(TrackingTime!H:H,TrackingTime!F:F,Timer!B589,TrackingTime!C:C,Start!$F$3),"")</f>
        <v/>
      </c>
      <c r="AC589" s="71" t="str">
        <f t="shared" si="611"/>
        <v/>
      </c>
    </row>
    <row r="590" spans="1:29" x14ac:dyDescent="0.25">
      <c r="A590" s="2" t="s">
        <v>82</v>
      </c>
      <c r="B590" s="14" t="s">
        <v>83</v>
      </c>
      <c r="E590">
        <f t="shared" ca="1" si="632"/>
        <v>0</v>
      </c>
      <c r="F590" t="str">
        <f>IFERROR(IF(YEAR(B590)=Start!$B$1,MONTH(B590),""),"")</f>
        <v/>
      </c>
      <c r="G590" s="64" t="str">
        <f>IFERROR(VLOOKUP(B590,Start!A$111:B$273,2,FALSE),"")</f>
        <v/>
      </c>
      <c r="H590" s="2" t="s">
        <v>86</v>
      </c>
      <c r="I590" s="2" t="s">
        <v>125</v>
      </c>
      <c r="J590" s="2" t="s">
        <v>126</v>
      </c>
      <c r="K590" s="2" t="s">
        <v>127</v>
      </c>
      <c r="L590" s="3" t="s">
        <v>87</v>
      </c>
      <c r="M590" s="6"/>
      <c r="N590" s="2" t="s">
        <v>88</v>
      </c>
      <c r="O590" s="2" t="s">
        <v>89</v>
      </c>
      <c r="P590" s="2"/>
      <c r="Q590" s="2" t="s">
        <v>86</v>
      </c>
      <c r="R590" s="2" t="s">
        <v>125</v>
      </c>
      <c r="S590" s="2" t="s">
        <v>126</v>
      </c>
      <c r="T590" s="2" t="s">
        <v>127</v>
      </c>
      <c r="U590" s="3" t="s">
        <v>87</v>
      </c>
      <c r="V590" s="6"/>
      <c r="W590" s="2" t="s">
        <v>88</v>
      </c>
      <c r="X590" s="2" t="s">
        <v>89</v>
      </c>
      <c r="Z590" s="70" t="str">
        <f>IF(SUMIFS(TrackingTime!H:H,TrackingTime!F:F,Timer!B590,TrackingTime!C:C,"Hovedkontoret")&gt;0,SUMIFS(TrackingTime!H:H,TrackingTime!F:F,Timer!B590,TrackingTime!C:C,"Hovedkontoret"),"")</f>
        <v/>
      </c>
      <c r="AA590" s="71" t="str">
        <f t="shared" si="607"/>
        <v/>
      </c>
      <c r="AB590" t="str">
        <f>IF(SUMIFS(TrackingTime!H:H,TrackingTime!F:F,Timer!B590,TrackingTime!C:C,Start!$F$3)&gt;0,SUMIFS(TrackingTime!H:H,TrackingTime!F:F,Timer!B590,TrackingTime!C:C,Start!$F$3),"")</f>
        <v/>
      </c>
      <c r="AC590" s="71" t="str">
        <f t="shared" si="611"/>
        <v/>
      </c>
    </row>
    <row r="591" spans="1:29" x14ac:dyDescent="0.25">
      <c r="A591" s="15">
        <f>WEEKNUM(B591,21)</f>
        <v>49</v>
      </c>
      <c r="B591" s="63">
        <f>B585+(DAY(1))</f>
        <v>46356</v>
      </c>
      <c r="C591" t="str">
        <f>IFERROR(IF(OR(L591="Fri",L591="Ferie",L591="Syk",L591="Omsorg",B591&lt;Start!$B$7),0,IF(IFERROR(MATCH(B591,Start!A$253:A$273,0),0)&gt;0,VLOOKUP(B591,Start!A$253:F$273,3,FALSE)/100*Start!$B$4,VLOOKUP(WEEKDAY(B591,2),Start!A$240:F$246,4,FALSE))),"")</f>
        <v/>
      </c>
      <c r="D591" t="str">
        <f>IFERROR(IF(OR(U591="Fri",U591="Ferie",U591="Syk",U591="Omsorg",B591&lt;Start!$F$7),0,IF(IFERROR(MATCH(B591,Start!A$253:A$273,0),0)&gt;0,VLOOKUP(B591,Start!A$253:F$273,3,FALSE)/100*Start!$F$4,VLOOKUP(WEEKDAY(B591,2),Start!A$240:F$246,6,FALSE))),"")</f>
        <v/>
      </c>
      <c r="E591">
        <f t="shared" ca="1" si="632"/>
        <v>0</v>
      </c>
      <c r="F591">
        <f>IFERROR(IF(YEAR(B591)=Start!$B$1,MONTH(B591),""),"")</f>
        <v>11</v>
      </c>
      <c r="G591" s="64" t="str">
        <f>IFERROR(VLOOKUP(B591,Start!A$111:B$273,2,FALSE),"")</f>
        <v/>
      </c>
      <c r="H591" s="21"/>
      <c r="I591" s="78">
        <v>0.33333333333333331</v>
      </c>
      <c r="J591" s="78">
        <v>0.33333333333333331</v>
      </c>
      <c r="K591" s="1" t="str">
        <f>IF(Start!$B$6="Ja","",IF(((J591-I591)*24)&gt;=5.5,"X",""))</f>
        <v/>
      </c>
      <c r="L591" s="1" t="str">
        <f>IF(_xlfn.IFNA(MATCH($A591,Start!$H$3:$H$11,0),0)&gt;0,"Ferie",IFERROR(IF(VLOOKUP(B591,Start!A$165:B$234,2,FALSE)&gt;0,"Fri",0),IF(AND((J591-I591)=0,Z591=""),"",MAX((IF(K591="X",(J591-I591)*24-0.5,(J591-I591)*24)),Z591))))</f>
        <v/>
      </c>
      <c r="M591" s="58"/>
      <c r="N591" s="21" t="str">
        <f t="shared" ref="N591:N597" si="679">IF(H591=0,"",H591)</f>
        <v/>
      </c>
      <c r="O591" s="21" t="str">
        <f t="shared" ref="O591:O597" si="680">IF(L591=0,"",L591)</f>
        <v/>
      </c>
      <c r="P591" s="2"/>
      <c r="Q591" s="21"/>
      <c r="R591" s="78">
        <v>0.33333333333333331</v>
      </c>
      <c r="S591" s="78">
        <v>0.33333333333333331</v>
      </c>
      <c r="T591" s="1" t="str">
        <f>IF(Start!$B$6="Ja","",IF(((S591-R591)*24)&gt;=5.5,"X",""))</f>
        <v/>
      </c>
      <c r="U591" s="1" t="str">
        <f>IF(_xlfn.IFNA(MATCH($A$15,Start!$H$3:$H$11,0),0)&gt;0,"Ferie",(IF(L591="fri","Fri",(IF(L591="syk","Syk",IF(L591="Ferie","Ferie",IF(AND((S591-R591)=0,AB591=""),"",MAX((IF(T591="X",(S591-R591)*24-0.5,(S591-R591)*24)),AB591))))))))</f>
        <v/>
      </c>
      <c r="V591" s="58"/>
      <c r="W591" s="21" t="str">
        <f t="shared" ref="W591:W597" si="681">IF(Q591=0,"",Q591)</f>
        <v/>
      </c>
      <c r="X591" s="21" t="str">
        <f t="shared" ref="X591:X597" si="682">IF(U591=0,"",U591)</f>
        <v/>
      </c>
      <c r="Z591" s="70" t="str">
        <f>IF(SUMIFS(TrackingTime!H:H,TrackingTime!F:F,Timer!B591,TrackingTime!C:C,"Hovedkontoret")&gt;0,SUMIFS(TrackingTime!H:H,TrackingTime!F:F,Timer!B591,TrackingTime!C:C,"Hovedkontoret"),"")</f>
        <v/>
      </c>
      <c r="AA591" s="71" t="str">
        <f t="shared" ref="AA591:AA638" si="683">IFERROR(Z591/24,"")</f>
        <v/>
      </c>
      <c r="AB591" t="str">
        <f>IF(SUMIFS(TrackingTime!H:H,TrackingTime!F:F,Timer!B591,TrackingTime!C:C,Start!$F$3)&gt;0,SUMIFS(TrackingTime!H:H,TrackingTime!F:F,Timer!B591,TrackingTime!C:C,Start!$F$3),"")</f>
        <v/>
      </c>
      <c r="AC591" s="71" t="str">
        <f t="shared" si="611"/>
        <v/>
      </c>
    </row>
    <row r="592" spans="1:29" x14ac:dyDescent="0.25">
      <c r="A592" s="15"/>
      <c r="B592" s="63">
        <f t="shared" ref="B592:B597" si="684">B591+DAY(1)</f>
        <v>46357</v>
      </c>
      <c r="C592" t="str">
        <f>IFERROR(IF(OR(L592="Fri",L592="Ferie",L592="Syk",L592="Omsorg",B592&lt;Start!$B$7),0,IF(IFERROR(MATCH(B592,Start!A$253:A$273,0),0)&gt;0,VLOOKUP(B592,Start!A$253:F$273,3,FALSE)/100*Start!$B$4,VLOOKUP(WEEKDAY(B592,2),Start!A$240:F$246,4,FALSE))),"")</f>
        <v/>
      </c>
      <c r="D592" t="str">
        <f>IFERROR(IF(OR(U592="Fri",U592="Ferie",U592="Syk",U592="Omsorg",B592&lt;Start!$F$7),0,IF(IFERROR(MATCH(B592,Start!A$253:A$273,0),0)&gt;0,VLOOKUP(B592,Start!A$253:F$273,3,FALSE)/100*Start!$F$4,VLOOKUP(WEEKDAY(B592,2),Start!A$240:F$246,6,FALSE))),"")</f>
        <v/>
      </c>
      <c r="E592">
        <f t="shared" ca="1" si="632"/>
        <v>0</v>
      </c>
      <c r="F592">
        <f>IFERROR(IF(YEAR(B592)=Start!$B$1,MONTH(B592),""),"")</f>
        <v>12</v>
      </c>
      <c r="G592" s="64" t="str">
        <f>IFERROR(VLOOKUP(B592,Start!A$111:B$273,2,FALSE),"")</f>
        <v/>
      </c>
      <c r="H592" s="21"/>
      <c r="I592" s="78">
        <v>0.33333333333333331</v>
      </c>
      <c r="J592" s="78">
        <v>0.33333333333333331</v>
      </c>
      <c r="K592" s="1" t="str">
        <f>IF(Start!$B$6="Ja","",IF(((J592-I592)*24)&gt;=5.5,"X",""))</f>
        <v/>
      </c>
      <c r="L592" s="1" t="str">
        <f>IF(_xlfn.IFNA(MATCH($A591,Start!$H$3:$H$11,0),0)&gt;0,"Ferie",IFERROR(IF(VLOOKUP($B592,Start!$A$165:$B$234,2,FALSE)&gt;0,"Fri",0),IF(AND((J592-I592)=0,Z592=""),"",MAX((IF(K592="X",(J592-I592)*24-0.5,(J592-I592)*24)),Z592))))</f>
        <v/>
      </c>
      <c r="M592" s="58"/>
      <c r="N592" s="21" t="str">
        <f t="shared" si="679"/>
        <v/>
      </c>
      <c r="O592" s="21" t="str">
        <f t="shared" si="680"/>
        <v/>
      </c>
      <c r="P592" s="2"/>
      <c r="Q592" s="21"/>
      <c r="R592" s="78">
        <v>0.33333333333333331</v>
      </c>
      <c r="S592" s="78">
        <v>0.33333333333333331</v>
      </c>
      <c r="T592" s="1" t="str">
        <f>IF(Start!$B$6="Ja","",IF(((S592-R592)*24)&gt;=5.5,"X",""))</f>
        <v/>
      </c>
      <c r="U592" s="1" t="str">
        <f>IF(_xlfn.IFNA(MATCH($A$15,Start!$H$3:$H$11,0),0)&gt;0,"Ferie",(IF(L592="fri","Fri",(IF(L592="syk","Syk",IF(L592="Ferie","Ferie",IF(AND((S592-R592)=0,AB592=""),"",MAX((IF(T592="X",(S592-R592)*24-0.5,(S592-R592)*24)),AB592))))))))</f>
        <v/>
      </c>
      <c r="V592" s="58"/>
      <c r="W592" s="21" t="str">
        <f t="shared" si="681"/>
        <v/>
      </c>
      <c r="X592" s="21" t="str">
        <f t="shared" si="682"/>
        <v/>
      </c>
      <c r="Z592" s="70" t="str">
        <f>IF(SUMIFS(TrackingTime!H:H,TrackingTime!F:F,Timer!B592,TrackingTime!C:C,"Hovedkontoret")&gt;0,SUMIFS(TrackingTime!H:H,TrackingTime!F:F,Timer!B592,TrackingTime!C:C,"Hovedkontoret"),"")</f>
        <v/>
      </c>
      <c r="AA592" s="71" t="str">
        <f t="shared" si="683"/>
        <v/>
      </c>
      <c r="AB592" t="str">
        <f>IF(SUMIFS(TrackingTime!H:H,TrackingTime!F:F,Timer!B592,TrackingTime!C:C,Start!$F$3)&gt;0,SUMIFS(TrackingTime!H:H,TrackingTime!F:F,Timer!B592,TrackingTime!C:C,Start!$F$3),"")</f>
        <v/>
      </c>
      <c r="AC592" s="71" t="str">
        <f t="shared" ref="AC592:AC648" si="685">IFERROR(AB592/24,"")</f>
        <v/>
      </c>
    </row>
    <row r="593" spans="1:29" x14ac:dyDescent="0.25">
      <c r="A593" s="15"/>
      <c r="B593" s="63">
        <f t="shared" si="684"/>
        <v>46358</v>
      </c>
      <c r="C593" t="str">
        <f>IFERROR(IF(OR(L593="Fri",L593="Ferie",L593="Syk",L593="Omsorg",B593&lt;Start!$B$7),0,IF(IFERROR(MATCH(B593,Start!A$253:A$273,0),0)&gt;0,VLOOKUP(B593,Start!A$253:F$273,3,FALSE)/100*Start!$B$4,VLOOKUP(WEEKDAY(B593,2),Start!A$240:F$246,4,FALSE))),"")</f>
        <v/>
      </c>
      <c r="D593" t="str">
        <f>IFERROR(IF(OR(U593="Fri",U593="Ferie",U593="Syk",U593="Omsorg",B593&lt;Start!$F$7),0,IF(IFERROR(MATCH(B593,Start!A$253:A$273,0),0)&gt;0,VLOOKUP(B593,Start!A$253:F$273,3,FALSE)/100*Start!$F$4,VLOOKUP(WEEKDAY(B593,2),Start!A$240:F$246,6,FALSE))),"")</f>
        <v/>
      </c>
      <c r="E593">
        <f t="shared" ca="1" si="632"/>
        <v>0</v>
      </c>
      <c r="F593">
        <f>IFERROR(IF(YEAR(B593)=Start!$B$1,MONTH(B593),""),"")</f>
        <v>12</v>
      </c>
      <c r="G593" s="64" t="str">
        <f>IFERROR(VLOOKUP(B593,Start!A$111:B$273,2,FALSE),"")</f>
        <v/>
      </c>
      <c r="H593" s="21"/>
      <c r="I593" s="78">
        <v>0.33333333333333331</v>
      </c>
      <c r="J593" s="78">
        <v>0.33333333333333331</v>
      </c>
      <c r="K593" s="1" t="str">
        <f>IF(Start!$B$6="Ja","",IF(((J593-I593)*24)&gt;=5.5,"X",""))</f>
        <v/>
      </c>
      <c r="L593" s="1" t="str">
        <f>IF(_xlfn.IFNA(MATCH($A591,Start!$H$3:$H$11,0),0)&gt;0,"Ferie",IFERROR(IF(VLOOKUP(B593,Start!A$165:B$234,2,FALSE)&gt;0,"Fri",0),IF(AND((J593-I593)=0,Z593=""),"",MAX((IF(K593="X",(J593-I593)*24-0.5,(J593-I593)*24)),Z593))))</f>
        <v/>
      </c>
      <c r="M593" s="58"/>
      <c r="N593" s="21" t="str">
        <f t="shared" si="679"/>
        <v/>
      </c>
      <c r="O593" s="21" t="str">
        <f t="shared" si="680"/>
        <v/>
      </c>
      <c r="P593" s="2"/>
      <c r="Q593" s="21"/>
      <c r="R593" s="78">
        <v>0.33333333333333331</v>
      </c>
      <c r="S593" s="78">
        <v>0.33333333333333331</v>
      </c>
      <c r="T593" s="1" t="str">
        <f>IF(Start!$B$6="Ja","",IF(((S593-R593)*24)&gt;=5.5,"X",""))</f>
        <v/>
      </c>
      <c r="U593" s="1" t="str">
        <f>IF(_xlfn.IFNA(MATCH($A$15,Start!$H$3:$H$11,0),0)&gt;0,"Ferie",(IF(L593="fri","Fri",(IF(L593="syk","Syk",IF(L593="Ferie","Ferie",IF(AND((S593-R593)=0,AB593=""),"",MAX((IF(T593="X",(S593-R593)*24-0.5,(S593-R593)*24)),AB593))))))))</f>
        <v/>
      </c>
      <c r="V593" s="58"/>
      <c r="W593" s="21" t="str">
        <f t="shared" si="681"/>
        <v/>
      </c>
      <c r="X593" s="21" t="str">
        <f t="shared" si="682"/>
        <v/>
      </c>
      <c r="Z593" s="70" t="str">
        <f>IF(SUMIFS(TrackingTime!H:H,TrackingTime!F:F,Timer!B593,TrackingTime!C:C,"Hovedkontoret")&gt;0,SUMIFS(TrackingTime!H:H,TrackingTime!F:F,Timer!B593,TrackingTime!C:C,"Hovedkontoret"),"")</f>
        <v/>
      </c>
      <c r="AA593" s="71" t="str">
        <f t="shared" si="683"/>
        <v/>
      </c>
      <c r="AB593" t="str">
        <f>IF(SUMIFS(TrackingTime!H:H,TrackingTime!F:F,Timer!B593,TrackingTime!C:C,Start!$F$3)&gt;0,SUMIFS(TrackingTime!H:H,TrackingTime!F:F,Timer!B593,TrackingTime!C:C,Start!$F$3),"")</f>
        <v/>
      </c>
      <c r="AC593" s="71" t="str">
        <f t="shared" si="685"/>
        <v/>
      </c>
    </row>
    <row r="594" spans="1:29" x14ac:dyDescent="0.25">
      <c r="A594" s="15"/>
      <c r="B594" s="63">
        <f t="shared" si="684"/>
        <v>46359</v>
      </c>
      <c r="C594" t="str">
        <f>IFERROR(IF(OR(L594="Fri",L594="Ferie",L594="Syk",L594="Omsorg",B594&lt;Start!$B$7),0,IF(IFERROR(MATCH(B594,Start!A$253:A$273,0),0)&gt;0,VLOOKUP(B594,Start!A$253:F$273,3,FALSE)/100*Start!$B$4,VLOOKUP(WEEKDAY(B594,2),Start!A$240:F$246,4,FALSE))),"")</f>
        <v/>
      </c>
      <c r="D594" t="str">
        <f>IFERROR(IF(OR(U594="Fri",U594="Ferie",U594="Syk",U594="Omsorg",B594&lt;Start!$F$7),0,IF(IFERROR(MATCH(B594,Start!A$253:A$273,0),0)&gt;0,VLOOKUP(B594,Start!A$253:F$273,3,FALSE)/100*Start!$F$4,VLOOKUP(WEEKDAY(B594,2),Start!A$240:F$246,6,FALSE))),"")</f>
        <v/>
      </c>
      <c r="E594">
        <f t="shared" ca="1" si="632"/>
        <v>0</v>
      </c>
      <c r="F594">
        <f>IFERROR(IF(YEAR(B594)=Start!$B$1,MONTH(B594),""),"")</f>
        <v>12</v>
      </c>
      <c r="G594" s="64" t="str">
        <f>IFERROR(VLOOKUP(B594,Start!A$111:B$273,2,FALSE),"")</f>
        <v/>
      </c>
      <c r="H594" s="21"/>
      <c r="I594" s="78">
        <v>0.33333333333333331</v>
      </c>
      <c r="J594" s="78">
        <v>0.33333333333333331</v>
      </c>
      <c r="K594" s="1" t="str">
        <f>IF(Start!$B$6="Ja","",IF(((J594-I594)*24)&gt;=5.5,"X",""))</f>
        <v/>
      </c>
      <c r="L594" s="1" t="str">
        <f>IF(_xlfn.IFNA(MATCH($A591,Start!$H$3:$H$11,0),0)&gt;0,"Ferie",IFERROR(IF(VLOOKUP(B594,Start!A$165:B$234,2,FALSE)&gt;0,"Fri",0),IF(AND((J594-I594)=0,Z594=""),"",MAX((IF(K594="X",(J594-I594)*24-0.5,(J594-I594)*24)),Z594))))</f>
        <v/>
      </c>
      <c r="M594" s="58"/>
      <c r="N594" s="21" t="str">
        <f t="shared" si="679"/>
        <v/>
      </c>
      <c r="O594" s="21" t="str">
        <f t="shared" si="680"/>
        <v/>
      </c>
      <c r="P594" s="2"/>
      <c r="Q594" s="21"/>
      <c r="R594" s="78">
        <v>0.33333333333333331</v>
      </c>
      <c r="S594" s="78">
        <v>0.33333333333333331</v>
      </c>
      <c r="T594" s="1" t="str">
        <f>IF(Start!$B$6="Ja","",IF(((S594-R594)*24)&gt;=5.5,"X",""))</f>
        <v/>
      </c>
      <c r="U594" s="1" t="str">
        <f>IF(_xlfn.IFNA(MATCH($A$15,Start!$H$3:$H$11,0),0)&gt;0,"Ferie",(IF(L594="fri","Fri",(IF(L594="syk","Syk",IF(L594="Ferie","Ferie",IF(AND((S594-R594)=0,AB594=""),"",MAX((IF(T594="X",(S594-R594)*24-0.5,(S594-R594)*24)),AB594))))))))</f>
        <v/>
      </c>
      <c r="V594" s="58"/>
      <c r="W594" s="21" t="str">
        <f t="shared" si="681"/>
        <v/>
      </c>
      <c r="X594" s="21" t="str">
        <f t="shared" si="682"/>
        <v/>
      </c>
      <c r="Z594" s="70" t="str">
        <f>IF(SUMIFS(TrackingTime!H:H,TrackingTime!F:F,Timer!B594,TrackingTime!C:C,"Hovedkontoret")&gt;0,SUMIFS(TrackingTime!H:H,TrackingTime!F:F,Timer!B594,TrackingTime!C:C,"Hovedkontoret"),"")</f>
        <v/>
      </c>
      <c r="AA594" s="71" t="str">
        <f t="shared" si="683"/>
        <v/>
      </c>
      <c r="AB594" t="str">
        <f>IF(SUMIFS(TrackingTime!H:H,TrackingTime!F:F,Timer!B594,TrackingTime!C:C,Start!$F$3)&gt;0,SUMIFS(TrackingTime!H:H,TrackingTime!F:F,Timer!B594,TrackingTime!C:C,Start!$F$3),"")</f>
        <v/>
      </c>
      <c r="AC594" s="71" t="str">
        <f t="shared" si="685"/>
        <v/>
      </c>
    </row>
    <row r="595" spans="1:29" x14ac:dyDescent="0.25">
      <c r="A595" s="15"/>
      <c r="B595" s="63">
        <f t="shared" si="684"/>
        <v>46360</v>
      </c>
      <c r="C595" t="str">
        <f>IFERROR(IF(OR(L595="Fri",L595="Ferie",L595="Syk",L595="Omsorg",B595&lt;Start!$B$7),0,IF(IFERROR(MATCH(B595,Start!A$253:A$273,0),0)&gt;0,VLOOKUP(B595,Start!A$253:F$273,3,FALSE)/100*Start!$B$4,VLOOKUP(WEEKDAY(B595,2),Start!A$240:F$246,4,FALSE))),"")</f>
        <v/>
      </c>
      <c r="D595" t="str">
        <f>IFERROR(IF(OR(U595="Fri",U595="Ferie",U595="Syk",U595="Omsorg",B595&lt;Start!$F$7),0,IF(IFERROR(MATCH(B595,Start!A$253:A$273,0),0)&gt;0,VLOOKUP(B595,Start!A$253:F$273,3,FALSE)/100*Start!$F$4,VLOOKUP(WEEKDAY(B595,2),Start!A$240:F$246,6,FALSE))),"")</f>
        <v/>
      </c>
      <c r="E595">
        <f t="shared" ca="1" si="632"/>
        <v>0</v>
      </c>
      <c r="F595">
        <f>IFERROR(IF(YEAR(B595)=Start!$B$1,MONTH(B595),""),"")</f>
        <v>12</v>
      </c>
      <c r="G595" s="64" t="str">
        <f>IFERROR(VLOOKUP(B595,Start!A$111:B$273,2,FALSE),"")</f>
        <v/>
      </c>
      <c r="H595" s="21"/>
      <c r="I595" s="78">
        <v>0.33333333333333331</v>
      </c>
      <c r="J595" s="78">
        <v>0.33333333333333331</v>
      </c>
      <c r="K595" s="1" t="str">
        <f>IF(Start!$B$6="Ja","",IF(((J595-I595)*24)&gt;=5.5,"X",""))</f>
        <v/>
      </c>
      <c r="L595" s="1" t="str">
        <f>IF(_xlfn.IFNA(MATCH($A591,Start!$H$3:$H$11,0),0)&gt;0,"Ferie",IFERROR(IF(VLOOKUP(B595,Start!A$165:B$234,2,FALSE)&gt;0,"Fri",0),IF(AND((J595-I595)=0,Z595=""),"",MAX((IF(K595="X",(J595-I595)*24-0.5,(J595-I595)*24)),Z595))))</f>
        <v/>
      </c>
      <c r="M595" s="58"/>
      <c r="N595" s="21" t="str">
        <f t="shared" si="679"/>
        <v/>
      </c>
      <c r="O595" s="21" t="str">
        <f t="shared" si="680"/>
        <v/>
      </c>
      <c r="P595" s="2"/>
      <c r="Q595" s="21"/>
      <c r="R595" s="78">
        <v>0.33333333333333331</v>
      </c>
      <c r="S595" s="78">
        <v>0.33333333333333331</v>
      </c>
      <c r="T595" s="1" t="str">
        <f>IF(Start!$B$6="Ja","",IF(((S595-R595)*24)&gt;=5.5,"X",""))</f>
        <v/>
      </c>
      <c r="U595" s="1" t="str">
        <f>IF(_xlfn.IFNA(MATCH($A$15,Start!$H$3:$H$11,0),0)&gt;0,"Ferie",(IF(L595="fri","Fri",(IF(L595="syk","Syk",IF(L595="Ferie","Ferie",IF(AND((S595-R595)=0,AB595=""),"",MAX((IF(T595="X",(S595-R595)*24-0.5,(S595-R595)*24)),AB595))))))))</f>
        <v/>
      </c>
      <c r="V595" s="58"/>
      <c r="W595" s="21" t="str">
        <f t="shared" si="681"/>
        <v/>
      </c>
      <c r="X595" s="21" t="str">
        <f t="shared" si="682"/>
        <v/>
      </c>
      <c r="Z595" s="70" t="str">
        <f>IF(SUMIFS(TrackingTime!H:H,TrackingTime!F:F,Timer!B595,TrackingTime!C:C,"Hovedkontoret")&gt;0,SUMIFS(TrackingTime!H:H,TrackingTime!F:F,Timer!B595,TrackingTime!C:C,"Hovedkontoret"),"")</f>
        <v/>
      </c>
      <c r="AA595" s="71" t="str">
        <f t="shared" si="683"/>
        <v/>
      </c>
      <c r="AB595" t="str">
        <f>IF(SUMIFS(TrackingTime!H:H,TrackingTime!F:F,Timer!B595,TrackingTime!C:C,Start!$F$3)&gt;0,SUMIFS(TrackingTime!H:H,TrackingTime!F:F,Timer!B595,TrackingTime!C:C,Start!$F$3),"")</f>
        <v/>
      </c>
      <c r="AC595" s="71" t="str">
        <f t="shared" si="685"/>
        <v/>
      </c>
    </row>
    <row r="596" spans="1:29" x14ac:dyDescent="0.25">
      <c r="A596" s="15"/>
      <c r="B596" s="63">
        <f t="shared" si="684"/>
        <v>46361</v>
      </c>
      <c r="C596">
        <f>IFERROR(IF(OR(L596="Fri",L596="Ferie",L596="Syk",L596="Omsorg",B596&lt;Start!$B$7),0,IF(IFERROR(MATCH(B596,Start!A$253:A$273,0),0)&gt;0,VLOOKUP(B596,Start!A$253:F$273,3,FALSE)/100*Start!$B$4,VLOOKUP(WEEKDAY(B596,2),Start!A$240:F$246,4,FALSE))),"")</f>
        <v>0</v>
      </c>
      <c r="D596">
        <f>IFERROR(IF(OR(U596="Fri",U596="Ferie",U596="Syk",U596="Omsorg",B596&lt;Start!$F$7),0,IF(IFERROR(MATCH(B596,Start!A$253:A$273,0),0)&gt;0,VLOOKUP(B596,Start!A$253:F$273,3,FALSE)/100*Start!$F$4,VLOOKUP(WEEKDAY(B596,2),Start!A$240:F$246,6,FALSE))),"")</f>
        <v>0</v>
      </c>
      <c r="E596">
        <f t="shared" ca="1" si="632"/>
        <v>0</v>
      </c>
      <c r="F596">
        <f>IFERROR(IF(YEAR(B596)=Start!$B$1,MONTH(B596),""),"")</f>
        <v>12</v>
      </c>
      <c r="G596" s="64" t="str">
        <f>IFERROR(VLOOKUP(B596,Start!A$111:B$273,2,FALSE),"")</f>
        <v/>
      </c>
      <c r="H596" s="21"/>
      <c r="I596" s="78">
        <v>0.41666666666666669</v>
      </c>
      <c r="J596" s="78">
        <v>0.41666666666666669</v>
      </c>
      <c r="K596" s="1" t="str">
        <f>IF(Start!$B$6="Ja","",IF(((J596-I596)*24)&gt;=5.5,"X",""))</f>
        <v/>
      </c>
      <c r="L596" s="1" t="str">
        <f t="shared" ref="L596:L597" si="686">IF(AND((J596-I596)=0,Z596=""),"",MAX((IF(K596="X",(J596-I596)*24-0.5,(J596-I596)*24)),Z596))</f>
        <v/>
      </c>
      <c r="M596" s="58"/>
      <c r="N596" s="21" t="str">
        <f t="shared" si="679"/>
        <v/>
      </c>
      <c r="O596" s="21" t="str">
        <f t="shared" si="680"/>
        <v/>
      </c>
      <c r="P596" s="2"/>
      <c r="Q596" s="21"/>
      <c r="R596" s="78">
        <v>0.41666666666666669</v>
      </c>
      <c r="S596" s="78">
        <v>0.41666666666666669</v>
      </c>
      <c r="T596" s="1" t="str">
        <f>IF(Start!$B$6="Ja","",IF(((S596-R596)*24)&gt;=5.5,"X",""))</f>
        <v/>
      </c>
      <c r="U596" s="1" t="str">
        <f t="shared" ref="U596:U597" si="687">IF(AND((S596-R596)=0,AB596=""),"",MAX((IF(T596="X",(S596-R596)*24-0.5,(S596-R596)*24)),AB596))</f>
        <v/>
      </c>
      <c r="V596" s="58"/>
      <c r="W596" s="21" t="str">
        <f t="shared" si="681"/>
        <v/>
      </c>
      <c r="X596" s="21" t="str">
        <f t="shared" si="682"/>
        <v/>
      </c>
      <c r="Z596" s="70" t="str">
        <f>IF(SUMIFS(TrackingTime!H:H,TrackingTime!F:F,Timer!B596,TrackingTime!C:C,"Hovedkontoret")&gt;0,SUMIFS(TrackingTime!H:H,TrackingTime!F:F,Timer!B596,TrackingTime!C:C,"Hovedkontoret"),"")</f>
        <v/>
      </c>
      <c r="AA596" s="71" t="str">
        <f t="shared" si="683"/>
        <v/>
      </c>
      <c r="AB596" t="str">
        <f>IF(SUMIFS(TrackingTime!H:H,TrackingTime!F:F,Timer!B596,TrackingTime!C:C,Start!$F$3)&gt;0,SUMIFS(TrackingTime!H:H,TrackingTime!F:F,Timer!B596,TrackingTime!C:C,Start!$F$3),"")</f>
        <v/>
      </c>
      <c r="AC596" s="71" t="str">
        <f t="shared" si="685"/>
        <v/>
      </c>
    </row>
    <row r="597" spans="1:29" x14ac:dyDescent="0.25">
      <c r="A597" s="15"/>
      <c r="B597" s="63">
        <f t="shared" si="684"/>
        <v>46362</v>
      </c>
      <c r="C597">
        <f>IFERROR(IF(OR(L597="Fri",L597="Ferie",L597="Syk",L597="Omsorg",B597&lt;Start!$B$7),0,IF(IFERROR(MATCH(B597,Start!A$253:A$273,0),0)&gt;0,VLOOKUP(B597,Start!A$253:F$273,3,FALSE)/100*Start!$B$4,VLOOKUP(WEEKDAY(B597,2),Start!A$240:F$246,4,FALSE))),"")</f>
        <v>0</v>
      </c>
      <c r="D597">
        <f>IFERROR(IF(OR(U597="Fri",U597="Ferie",U597="Syk",U597="Omsorg",B597&lt;Start!$F$7),0,IF(IFERROR(MATCH(B597,Start!A$253:A$273,0),0)&gt;0,VLOOKUP(B597,Start!A$253:F$273,3,FALSE)/100*Start!$F$4,VLOOKUP(WEEKDAY(B597,2),Start!A$240:F$246,6,FALSE))),"")</f>
        <v>0</v>
      </c>
      <c r="E597">
        <f t="shared" ca="1" si="632"/>
        <v>0</v>
      </c>
      <c r="F597">
        <f>IFERROR(IF(YEAR(B597)=Start!$B$1,MONTH(B597),""),"")</f>
        <v>12</v>
      </c>
      <c r="G597" s="64" t="str">
        <f>IFERROR(VLOOKUP(B597,Start!A$111:B$273,2,FALSE),"")</f>
        <v/>
      </c>
      <c r="H597" s="25"/>
      <c r="I597" s="78">
        <v>0.41666666666666669</v>
      </c>
      <c r="J597" s="78">
        <v>0.41666666666666669</v>
      </c>
      <c r="K597" s="1" t="str">
        <f>IF(Start!$B$6="Ja","",IF(((J597-I597)*24)&gt;=5.5,"X",""))</f>
        <v/>
      </c>
      <c r="L597" s="1" t="str">
        <f t="shared" si="686"/>
        <v/>
      </c>
      <c r="M597" s="58"/>
      <c r="N597" s="21" t="str">
        <f t="shared" si="679"/>
        <v/>
      </c>
      <c r="O597" s="21" t="str">
        <f t="shared" si="680"/>
        <v/>
      </c>
      <c r="Q597" s="25"/>
      <c r="R597" s="78">
        <v>0.41666666666666669</v>
      </c>
      <c r="S597" s="78">
        <v>0.41666666666666669</v>
      </c>
      <c r="T597" s="1" t="str">
        <f>IF(Start!$B$6="Ja","",IF(((S597-R597)*24)&gt;=5.5,"X",""))</f>
        <v/>
      </c>
      <c r="U597" s="1" t="str">
        <f t="shared" si="687"/>
        <v/>
      </c>
      <c r="V597" s="58"/>
      <c r="W597" s="21" t="str">
        <f t="shared" si="681"/>
        <v/>
      </c>
      <c r="X597" s="21" t="str">
        <f t="shared" si="682"/>
        <v/>
      </c>
      <c r="Z597" s="70" t="str">
        <f>IF(SUMIFS(TrackingTime!H:H,TrackingTime!F:F,Timer!B597,TrackingTime!C:C,"Hovedkontoret")&gt;0,SUMIFS(TrackingTime!H:H,TrackingTime!F:F,Timer!B597,TrackingTime!C:C,"Hovedkontoret"),"")</f>
        <v/>
      </c>
      <c r="AA597" s="71" t="str">
        <f t="shared" si="683"/>
        <v/>
      </c>
      <c r="AB597" t="str">
        <f>IF(SUMIFS(TrackingTime!H:H,TrackingTime!F:F,Timer!B597,TrackingTime!C:C,Start!$F$3)&gt;0,SUMIFS(TrackingTime!H:H,TrackingTime!F:F,Timer!B597,TrackingTime!C:C,Start!$F$3),"")</f>
        <v/>
      </c>
      <c r="AC597" s="71" t="str">
        <f t="shared" si="685"/>
        <v/>
      </c>
    </row>
    <row r="598" spans="1:29" x14ac:dyDescent="0.25">
      <c r="A598" s="15"/>
      <c r="B598" s="4" t="s">
        <v>11</v>
      </c>
      <c r="C598" s="24"/>
      <c r="D598" s="24"/>
      <c r="E598" s="24">
        <f t="shared" ca="1" si="632"/>
        <v>0</v>
      </c>
      <c r="F598" s="24" t="str">
        <f>IFERROR(IF(YEAR(B598)=Start!$B$1,MONTH(B598),""),"")</f>
        <v/>
      </c>
      <c r="G598" s="64" t="str">
        <f>IFERROR(VLOOKUP(B598,Start!A$111:B$273,2,FALSE),"")</f>
        <v/>
      </c>
      <c r="H598" s="4"/>
      <c r="I598" s="4"/>
      <c r="J598" s="4"/>
      <c r="K598" s="4"/>
      <c r="L598" s="5">
        <f t="shared" ref="L598:L646" si="688">SUM($L591:$L597)</f>
        <v>0</v>
      </c>
      <c r="N598" s="24"/>
      <c r="O598" s="39">
        <f t="shared" ref="O598" si="689">SUM(O591:O597)</f>
        <v>0</v>
      </c>
      <c r="P598" s="40"/>
      <c r="Q598" s="41"/>
      <c r="R598" s="4"/>
      <c r="S598" s="4"/>
      <c r="T598" s="4"/>
      <c r="U598" s="5">
        <f t="shared" ref="U598" si="690">SUM($U591:$U597)</f>
        <v>0</v>
      </c>
      <c r="V598" s="58"/>
      <c r="W598" s="39"/>
      <c r="X598" s="39">
        <f t="shared" si="674"/>
        <v>0</v>
      </c>
      <c r="Z598" s="70" t="str">
        <f>IF(SUMIFS(TrackingTime!H:H,TrackingTime!F:F,Timer!B598,TrackingTime!C:C,"Hovedkontoret")&gt;0,SUMIFS(TrackingTime!H:H,TrackingTime!F:F,Timer!B598,TrackingTime!C:C,"Hovedkontoret"),"")</f>
        <v/>
      </c>
      <c r="AA598" s="71" t="str">
        <f t="shared" si="683"/>
        <v/>
      </c>
      <c r="AB598" t="str">
        <f>IF(SUMIFS(TrackingTime!H:H,TrackingTime!F:F,Timer!B598,TrackingTime!C:C,Start!$F$3)&gt;0,SUMIFS(TrackingTime!H:H,TrackingTime!F:F,Timer!B598,TrackingTime!C:C,Start!$F$3),"")</f>
        <v/>
      </c>
      <c r="AC598" s="71" t="str">
        <f t="shared" si="685"/>
        <v/>
      </c>
    </row>
    <row r="599" spans="1:29" x14ac:dyDescent="0.25">
      <c r="A599" s="15"/>
      <c r="B599" t="s">
        <v>90</v>
      </c>
      <c r="E599">
        <f t="shared" ca="1" si="632"/>
        <v>0</v>
      </c>
      <c r="F599" t="str">
        <f>IFERROR(IF(YEAR(B599)=Start!$B$1,MONTH(B599),""),"")</f>
        <v/>
      </c>
      <c r="G599" s="64" t="str">
        <f>IFERROR(VLOOKUP(B599,Start!A$111:B$273,2,FALSE),"")</f>
        <v/>
      </c>
      <c r="L599" s="1">
        <f t="shared" ref="L599:L647" si="691">SUMIFS(C591:C597,F591:F597,"&gt;0")</f>
        <v>0</v>
      </c>
      <c r="M599" s="1"/>
      <c r="N599" s="1"/>
      <c r="O599" s="21">
        <f t="shared" ref="O599" si="692">L599</f>
        <v>0</v>
      </c>
      <c r="P599" s="40"/>
      <c r="Q599" s="21"/>
      <c r="U599" s="1">
        <f t="shared" ref="U599" si="693">SUMIFS(D591:D597,F591:F597,"&gt;0")</f>
        <v>0</v>
      </c>
      <c r="V599" s="1"/>
      <c r="W599" s="1"/>
      <c r="X599" s="21">
        <f>U599</f>
        <v>0</v>
      </c>
      <c r="Z599" s="70" t="str">
        <f>IF(SUMIFS(TrackingTime!H:H,TrackingTime!F:F,Timer!B599,TrackingTime!C:C,"Hovedkontoret")&gt;0,SUMIFS(TrackingTime!H:H,TrackingTime!F:F,Timer!B599,TrackingTime!C:C,"Hovedkontoret"),"")</f>
        <v/>
      </c>
      <c r="AA599" s="71" t="str">
        <f t="shared" si="683"/>
        <v/>
      </c>
      <c r="AB599" t="str">
        <f>IF(SUMIFS(TrackingTime!H:H,TrackingTime!F:F,Timer!B599,TrackingTime!C:C,Start!$F$3)&gt;0,SUMIFS(TrackingTime!H:H,TrackingTime!F:F,Timer!B599,TrackingTime!C:C,Start!$F$3),"")</f>
        <v/>
      </c>
      <c r="AC599" s="71" t="str">
        <f t="shared" si="685"/>
        <v/>
      </c>
    </row>
    <row r="600" spans="1:29" x14ac:dyDescent="0.25">
      <c r="A600" s="16">
        <f>B597-B591-1</f>
        <v>5</v>
      </c>
      <c r="B600" t="s">
        <v>117</v>
      </c>
      <c r="E600">
        <f t="shared" ca="1" si="632"/>
        <v>0</v>
      </c>
      <c r="F600" t="str">
        <f>IFERROR(IF(YEAR(B600)=Start!$B$1,MONTH(B600),""),"")</f>
        <v/>
      </c>
      <c r="G600" s="64" t="str">
        <f>IFERROR(VLOOKUP(B600,Start!A$111:B$273,2,FALSE),"")</f>
        <v/>
      </c>
      <c r="L600" s="77">
        <f t="shared" ref="L600:L648" ca="1" si="694">L598-L599*(IF(NETWORKDAYS($B591,TODAY())&lt;0,0,IF(NETWORKDAYS($B591,TODAY())&lt;=$A600,NETWORKDAYS($B591,TODAY()),$A600)))/$A600</f>
        <v>0</v>
      </c>
      <c r="O600" s="21">
        <f t="shared" ref="O600" si="695">O598-O599</f>
        <v>0</v>
      </c>
      <c r="P600" s="21"/>
      <c r="Q600" s="21"/>
      <c r="U600" s="1">
        <f t="shared" ref="U600" ca="1" si="696">U598-U599*(IF(NETWORKDAYS($B591,TODAY())&lt;0,0,IF(NETWORKDAYS($B591,TODAY())&lt;=$A600,NETWORKDAYS($B591,TODAY()),$A600)))/$A600</f>
        <v>0</v>
      </c>
      <c r="V600" s="58"/>
      <c r="W600" s="21"/>
      <c r="X600" s="21">
        <f>X598-X599</f>
        <v>0</v>
      </c>
      <c r="Z600" s="70" t="str">
        <f>IF(SUMIFS(TrackingTime!H:H,TrackingTime!F:F,Timer!B600,TrackingTime!C:C,"Hovedkontoret")&gt;0,SUMIFS(TrackingTime!H:H,TrackingTime!F:F,Timer!B600,TrackingTime!C:C,"Hovedkontoret"),"")</f>
        <v/>
      </c>
      <c r="AA600" s="71" t="str">
        <f t="shared" si="683"/>
        <v/>
      </c>
      <c r="AB600" t="str">
        <f>IF(SUMIFS(TrackingTime!H:H,TrackingTime!F:F,Timer!B600,TrackingTime!C:C,Start!$F$3)&gt;0,SUMIFS(TrackingTime!H:H,TrackingTime!F:F,Timer!B600,TrackingTime!C:C,Start!$F$3),"")</f>
        <v/>
      </c>
      <c r="AC600" s="71" t="str">
        <f t="shared" si="685"/>
        <v/>
      </c>
    </row>
    <row r="601" spans="1:29" x14ac:dyDescent="0.25">
      <c r="A601" s="15"/>
      <c r="E601">
        <f t="shared" ca="1" si="632"/>
        <v>1</v>
      </c>
      <c r="F601" t="str">
        <f>IFERROR(IF(YEAR(B601)=Start!$B$1,MONTH(B601),""),"")</f>
        <v/>
      </c>
      <c r="G601" s="64" t="str">
        <f>IFERROR(VLOOKUP(B601,Start!A$111:B$273,2,FALSE),"")</f>
        <v/>
      </c>
      <c r="O601" s="2"/>
      <c r="P601" s="2"/>
      <c r="U601" s="1"/>
      <c r="V601" s="7"/>
      <c r="X601" s="2"/>
      <c r="Z601" s="70" t="str">
        <f>IF(SUMIFS(TrackingTime!H:H,TrackingTime!F:F,Timer!B601,TrackingTime!C:C,"Hovedkontoret")&gt;0,SUMIFS(TrackingTime!H:H,TrackingTime!F:F,Timer!B601,TrackingTime!C:C,"Hovedkontoret"),"")</f>
        <v/>
      </c>
      <c r="AA601" s="71" t="str">
        <f t="shared" si="683"/>
        <v/>
      </c>
      <c r="AB601" t="str">
        <f>IF(SUMIFS(TrackingTime!H:H,TrackingTime!F:F,Timer!B601,TrackingTime!C:C,Start!$F$3)&gt;0,SUMIFS(TrackingTime!H:H,TrackingTime!F:F,Timer!B601,TrackingTime!C:C,Start!$F$3),"")</f>
        <v/>
      </c>
      <c r="AC601" s="71" t="str">
        <f t="shared" si="685"/>
        <v/>
      </c>
    </row>
    <row r="602" spans="1:29" x14ac:dyDescent="0.25">
      <c r="A602" s="2" t="s">
        <v>82</v>
      </c>
      <c r="B602" s="14" t="s">
        <v>83</v>
      </c>
      <c r="E602">
        <f t="shared" ca="1" si="632"/>
        <v>0</v>
      </c>
      <c r="F602" t="str">
        <f>IFERROR(IF(YEAR(B602)=Start!$B$1,MONTH(B602),""),"")</f>
        <v/>
      </c>
      <c r="G602" s="64" t="str">
        <f>IFERROR(VLOOKUP(B602,Start!A$111:B$273,2,FALSE),"")</f>
        <v/>
      </c>
      <c r="H602" s="2" t="s">
        <v>86</v>
      </c>
      <c r="I602" s="2" t="s">
        <v>125</v>
      </c>
      <c r="J602" s="2" t="s">
        <v>126</v>
      </c>
      <c r="K602" s="2" t="s">
        <v>127</v>
      </c>
      <c r="L602" s="3" t="s">
        <v>87</v>
      </c>
      <c r="M602" s="6"/>
      <c r="N602" s="2" t="s">
        <v>88</v>
      </c>
      <c r="O602" s="2" t="s">
        <v>89</v>
      </c>
      <c r="P602" s="2"/>
      <c r="Q602" s="2" t="s">
        <v>86</v>
      </c>
      <c r="R602" s="2" t="s">
        <v>125</v>
      </c>
      <c r="S602" s="2" t="s">
        <v>126</v>
      </c>
      <c r="T602" s="2" t="s">
        <v>127</v>
      </c>
      <c r="U602" s="3" t="s">
        <v>87</v>
      </c>
      <c r="V602" s="6"/>
      <c r="W602" s="2" t="s">
        <v>88</v>
      </c>
      <c r="X602" s="2" t="s">
        <v>89</v>
      </c>
      <c r="Z602" s="70" t="str">
        <f>IF(SUMIFS(TrackingTime!H:H,TrackingTime!F:F,Timer!B602,TrackingTime!C:C,"Hovedkontoret")&gt;0,SUMIFS(TrackingTime!H:H,TrackingTime!F:F,Timer!B602,TrackingTime!C:C,"Hovedkontoret"),"")</f>
        <v/>
      </c>
      <c r="AA602" s="71" t="str">
        <f t="shared" si="683"/>
        <v/>
      </c>
      <c r="AB602" t="str">
        <f>IF(SUMIFS(TrackingTime!H:H,TrackingTime!F:F,Timer!B602,TrackingTime!C:C,Start!$F$3)&gt;0,SUMIFS(TrackingTime!H:H,TrackingTime!F:F,Timer!B602,TrackingTime!C:C,Start!$F$3),"")</f>
        <v/>
      </c>
      <c r="AC602" s="71" t="str">
        <f t="shared" si="685"/>
        <v/>
      </c>
    </row>
    <row r="603" spans="1:29" x14ac:dyDescent="0.25">
      <c r="A603" s="15">
        <f>WEEKNUM(B603,21)</f>
        <v>50</v>
      </c>
      <c r="B603" s="63">
        <f>B597+(DAY(1))</f>
        <v>46363</v>
      </c>
      <c r="C603" t="str">
        <f>IFERROR(IF(OR(L603="Fri",L603="Ferie",L603="Syk",L603="Omsorg",B603&lt;Start!$B$7),0,IF(IFERROR(MATCH(B603,Start!A$253:A$273,0),0)&gt;0,VLOOKUP(B603,Start!A$253:F$273,3,FALSE)/100*Start!$B$4,VLOOKUP(WEEKDAY(B603,2),Start!A$240:F$246,4,FALSE))),"")</f>
        <v/>
      </c>
      <c r="D603" t="str">
        <f>IFERROR(IF(OR(U603="Fri",U603="Ferie",U603="Syk",U603="Omsorg",B603&lt;Start!$F$7),0,IF(IFERROR(MATCH(B603,Start!A$253:A$273,0),0)&gt;0,VLOOKUP(B603,Start!A$253:F$273,3,FALSE)/100*Start!$F$4,VLOOKUP(WEEKDAY(B603,2),Start!A$240:F$246,6,FALSE))),"")</f>
        <v/>
      </c>
      <c r="E603">
        <f t="shared" ca="1" si="632"/>
        <v>0</v>
      </c>
      <c r="F603">
        <f>IFERROR(IF(YEAR(B603)=Start!$B$1,MONTH(B603),""),"")</f>
        <v>12</v>
      </c>
      <c r="G603" s="64" t="str">
        <f>IFERROR(VLOOKUP(B603,Start!A$111:B$273,2,FALSE),"")</f>
        <v/>
      </c>
      <c r="H603" s="21"/>
      <c r="I603" s="78">
        <v>0.33333333333333331</v>
      </c>
      <c r="J603" s="78">
        <v>0.33333333333333331</v>
      </c>
      <c r="K603" s="1" t="str">
        <f>IF(Start!$B$6="Ja","",IF(((J603-I603)*24)&gt;=5.5,"X",""))</f>
        <v/>
      </c>
      <c r="L603" s="1" t="str">
        <f>IF(_xlfn.IFNA(MATCH($A603,Start!$H$3:$H$11,0),0)&gt;0,"Ferie",IFERROR(IF(VLOOKUP(B603,Start!A$165:B$234,2,FALSE)&gt;0,"Fri",0),IF(AND((J603-I603)=0,Z603=""),"",MAX((IF(K603="X",(J603-I603)*24-0.5,(J603-I603)*24)),Z603))))</f>
        <v/>
      </c>
      <c r="M603" s="58"/>
      <c r="N603" s="21" t="str">
        <f t="shared" ref="N603:N609" si="697">IF(H603=0,"",H603)</f>
        <v/>
      </c>
      <c r="O603" s="21" t="str">
        <f t="shared" ref="O603:O609" si="698">IF(L603=0,"",L603)</f>
        <v/>
      </c>
      <c r="P603" s="2"/>
      <c r="Q603" s="21"/>
      <c r="R603" s="78">
        <v>0.33333333333333331</v>
      </c>
      <c r="S603" s="78">
        <v>0.33333333333333331</v>
      </c>
      <c r="T603" s="1" t="str">
        <f>IF(Start!$B$6="Ja","",IF(((S603-R603)*24)&gt;=5.5,"X",""))</f>
        <v/>
      </c>
      <c r="U603" s="1" t="str">
        <f>IF(_xlfn.IFNA(MATCH($A$15,Start!$H$3:$H$11,0),0)&gt;0,"Ferie",(IF(L603="fri","Fri",(IF(L603="syk","Syk",IF(L603="Ferie","Ferie",IF(AND((S603-R603)=0,AB603=""),"",MAX((IF(T603="X",(S603-R603)*24-0.5,(S603-R603)*24)),AB603))))))))</f>
        <v/>
      </c>
      <c r="V603" s="58"/>
      <c r="W603" s="21" t="str">
        <f t="shared" ref="W603:W609" si="699">IF(Q603=0,"",Q603)</f>
        <v/>
      </c>
      <c r="X603" s="21" t="str">
        <f t="shared" ref="X603:X609" si="700">IF(U603=0,"",U603)</f>
        <v/>
      </c>
      <c r="Z603" s="70" t="str">
        <f>IF(SUMIFS(TrackingTime!H:H,TrackingTime!F:F,Timer!B603,TrackingTime!C:C,"Hovedkontoret")&gt;0,SUMIFS(TrackingTime!H:H,TrackingTime!F:F,Timer!B603,TrackingTime!C:C,"Hovedkontoret"),"")</f>
        <v/>
      </c>
      <c r="AA603" s="71" t="str">
        <f t="shared" si="683"/>
        <v/>
      </c>
      <c r="AB603" t="str">
        <f>IF(SUMIFS(TrackingTime!H:H,TrackingTime!F:F,Timer!B603,TrackingTime!C:C,Start!$F$3)&gt;0,SUMIFS(TrackingTime!H:H,TrackingTime!F:F,Timer!B603,TrackingTime!C:C,Start!$F$3),"")</f>
        <v/>
      </c>
      <c r="AC603" s="71" t="str">
        <f t="shared" si="685"/>
        <v/>
      </c>
    </row>
    <row r="604" spans="1:29" x14ac:dyDescent="0.25">
      <c r="A604" s="15"/>
      <c r="B604" s="63">
        <f t="shared" ref="B604:B609" si="701">B603+DAY(1)</f>
        <v>46364</v>
      </c>
      <c r="C604" t="str">
        <f>IFERROR(IF(OR(L604="Fri",L604="Ferie",L604="Syk",L604="Omsorg",B604&lt;Start!$B$7),0,IF(IFERROR(MATCH(B604,Start!A$253:A$273,0),0)&gt;0,VLOOKUP(B604,Start!A$253:F$273,3,FALSE)/100*Start!$B$4,VLOOKUP(WEEKDAY(B604,2),Start!A$240:F$246,4,FALSE))),"")</f>
        <v/>
      </c>
      <c r="D604" t="str">
        <f>IFERROR(IF(OR(U604="Fri",U604="Ferie",U604="Syk",U604="Omsorg",B604&lt;Start!$F$7),0,IF(IFERROR(MATCH(B604,Start!A$253:A$273,0),0)&gt;0,VLOOKUP(B604,Start!A$253:F$273,3,FALSE)/100*Start!$F$4,VLOOKUP(WEEKDAY(B604,2),Start!A$240:F$246,6,FALSE))),"")</f>
        <v/>
      </c>
      <c r="E604">
        <f t="shared" ca="1" si="632"/>
        <v>0</v>
      </c>
      <c r="F604">
        <f>IFERROR(IF(YEAR(B604)=Start!$B$1,MONTH(B604),""),"")</f>
        <v>12</v>
      </c>
      <c r="G604" s="64" t="str">
        <f>IFERROR(VLOOKUP(B604,Start!A$111:B$273,2,FALSE),"")</f>
        <v/>
      </c>
      <c r="H604" s="21"/>
      <c r="I604" s="78">
        <v>0.33333333333333331</v>
      </c>
      <c r="J604" s="78">
        <v>0.33333333333333331</v>
      </c>
      <c r="K604" s="1" t="str">
        <f>IF(Start!$B$6="Ja","",IF(((J604-I604)*24)&gt;=5.5,"X",""))</f>
        <v/>
      </c>
      <c r="L604" s="1" t="str">
        <f>IF(_xlfn.IFNA(MATCH($A603,Start!$H$3:$H$11,0),0)&gt;0,"Ferie",IFERROR(IF(VLOOKUP($B604,Start!$A$165:$B$234,2,FALSE)&gt;0,"Fri",0),IF(AND((J604-I604)=0,Z604=""),"",MAX((IF(K604="X",(J604-I604)*24-0.5,(J604-I604)*24)),Z604))))</f>
        <v/>
      </c>
      <c r="M604" s="58"/>
      <c r="N604" s="21" t="str">
        <f t="shared" si="697"/>
        <v/>
      </c>
      <c r="O604" s="21" t="str">
        <f t="shared" si="698"/>
        <v/>
      </c>
      <c r="P604" s="2"/>
      <c r="Q604" s="21"/>
      <c r="R604" s="78">
        <v>0.33333333333333331</v>
      </c>
      <c r="S604" s="78">
        <v>0.33333333333333331</v>
      </c>
      <c r="T604" s="1" t="str">
        <f>IF(Start!$B$6="Ja","",IF(((S604-R604)*24)&gt;=5.5,"X",""))</f>
        <v/>
      </c>
      <c r="U604" s="1" t="str">
        <f>IF(_xlfn.IFNA(MATCH($A$15,Start!$H$3:$H$11,0),0)&gt;0,"Ferie",(IF(L604="fri","Fri",(IF(L604="syk","Syk",IF(L604="Ferie","Ferie",IF(AND((S604-R604)=0,AB604=""),"",MAX((IF(T604="X",(S604-R604)*24-0.5,(S604-R604)*24)),AB604))))))))</f>
        <v/>
      </c>
      <c r="V604" s="58"/>
      <c r="W604" s="21" t="str">
        <f t="shared" si="699"/>
        <v/>
      </c>
      <c r="X604" s="21" t="str">
        <f t="shared" si="700"/>
        <v/>
      </c>
      <c r="Z604" s="70" t="str">
        <f>IF(SUMIFS(TrackingTime!H:H,TrackingTime!F:F,Timer!B604,TrackingTime!C:C,"Hovedkontoret")&gt;0,SUMIFS(TrackingTime!H:H,TrackingTime!F:F,Timer!B604,TrackingTime!C:C,"Hovedkontoret"),"")</f>
        <v/>
      </c>
      <c r="AA604" s="71" t="str">
        <f t="shared" si="683"/>
        <v/>
      </c>
      <c r="AB604" t="str">
        <f>IF(SUMIFS(TrackingTime!H:H,TrackingTime!F:F,Timer!B604,TrackingTime!C:C,Start!$F$3)&gt;0,SUMIFS(TrackingTime!H:H,TrackingTime!F:F,Timer!B604,TrackingTime!C:C,Start!$F$3),"")</f>
        <v/>
      </c>
      <c r="AC604" s="71" t="str">
        <f t="shared" si="685"/>
        <v/>
      </c>
    </row>
    <row r="605" spans="1:29" x14ac:dyDescent="0.25">
      <c r="A605" s="15"/>
      <c r="B605" s="63">
        <f t="shared" si="701"/>
        <v>46365</v>
      </c>
      <c r="C605" t="str">
        <f>IFERROR(IF(OR(L605="Fri",L605="Ferie",L605="Syk",L605="Omsorg",B605&lt;Start!$B$7),0,IF(IFERROR(MATCH(B605,Start!A$253:A$273,0),0)&gt;0,VLOOKUP(B605,Start!A$253:F$273,3,FALSE)/100*Start!$B$4,VLOOKUP(WEEKDAY(B605,2),Start!A$240:F$246,4,FALSE))),"")</f>
        <v/>
      </c>
      <c r="D605" t="str">
        <f>IFERROR(IF(OR(U605="Fri",U605="Ferie",U605="Syk",U605="Omsorg",B605&lt;Start!$F$7),0,IF(IFERROR(MATCH(B605,Start!A$253:A$273,0),0)&gt;0,VLOOKUP(B605,Start!A$253:F$273,3,FALSE)/100*Start!$F$4,VLOOKUP(WEEKDAY(B605,2),Start!A$240:F$246,6,FALSE))),"")</f>
        <v/>
      </c>
      <c r="E605">
        <f t="shared" ca="1" si="632"/>
        <v>0</v>
      </c>
      <c r="F605">
        <f>IFERROR(IF(YEAR(B605)=Start!$B$1,MONTH(B605),""),"")</f>
        <v>12</v>
      </c>
      <c r="G605" s="64" t="str">
        <f>IFERROR(VLOOKUP(B605,Start!A$111:B$273,2,FALSE),"")</f>
        <v/>
      </c>
      <c r="H605" s="21"/>
      <c r="I605" s="78">
        <v>0.33333333333333331</v>
      </c>
      <c r="J605" s="78">
        <v>0.33333333333333331</v>
      </c>
      <c r="K605" s="1" t="str">
        <f>IF(Start!$B$6="Ja","",IF(((J605-I605)*24)&gt;=5.5,"X",""))</f>
        <v/>
      </c>
      <c r="L605" s="1" t="str">
        <f>IF(_xlfn.IFNA(MATCH($A603,Start!$H$3:$H$11,0),0)&gt;0,"Ferie",IFERROR(IF(VLOOKUP(B605,Start!A$165:B$234,2,FALSE)&gt;0,"Fri",0),IF(AND((J605-I605)=0,Z605=""),"",MAX((IF(K605="X",(J605-I605)*24-0.5,(J605-I605)*24)),Z605))))</f>
        <v/>
      </c>
      <c r="M605" s="58"/>
      <c r="N605" s="21" t="str">
        <f t="shared" si="697"/>
        <v/>
      </c>
      <c r="O605" s="21" t="str">
        <f t="shared" si="698"/>
        <v/>
      </c>
      <c r="P605" s="2"/>
      <c r="Q605" s="21"/>
      <c r="R605" s="78">
        <v>0.33333333333333331</v>
      </c>
      <c r="S605" s="78">
        <v>0.33333333333333331</v>
      </c>
      <c r="T605" s="1" t="str">
        <f>IF(Start!$B$6="Ja","",IF(((S605-R605)*24)&gt;=5.5,"X",""))</f>
        <v/>
      </c>
      <c r="U605" s="1" t="str">
        <f>IF(_xlfn.IFNA(MATCH($A$15,Start!$H$3:$H$11,0),0)&gt;0,"Ferie",(IF(L605="fri","Fri",(IF(L605="syk","Syk",IF(L605="Ferie","Ferie",IF(AND((S605-R605)=0,AB605=""),"",MAX((IF(T605="X",(S605-R605)*24-0.5,(S605-R605)*24)),AB605))))))))</f>
        <v/>
      </c>
      <c r="V605" s="58"/>
      <c r="W605" s="21" t="str">
        <f t="shared" si="699"/>
        <v/>
      </c>
      <c r="X605" s="21" t="str">
        <f t="shared" si="700"/>
        <v/>
      </c>
      <c r="Z605" s="70" t="str">
        <f>IF(SUMIFS(TrackingTime!H:H,TrackingTime!F:F,Timer!B605,TrackingTime!C:C,"Hovedkontoret")&gt;0,SUMIFS(TrackingTime!H:H,TrackingTime!F:F,Timer!B605,TrackingTime!C:C,"Hovedkontoret"),"")</f>
        <v/>
      </c>
      <c r="AA605" s="71" t="str">
        <f t="shared" si="683"/>
        <v/>
      </c>
      <c r="AB605" t="str">
        <f>IF(SUMIFS(TrackingTime!H:H,TrackingTime!F:F,Timer!B605,TrackingTime!C:C,Start!$F$3)&gt;0,SUMIFS(TrackingTime!H:H,TrackingTime!F:F,Timer!B605,TrackingTime!C:C,Start!$F$3),"")</f>
        <v/>
      </c>
      <c r="AC605" s="71" t="str">
        <f t="shared" si="685"/>
        <v/>
      </c>
    </row>
    <row r="606" spans="1:29" x14ac:dyDescent="0.25">
      <c r="A606" s="15"/>
      <c r="B606" s="63">
        <f t="shared" si="701"/>
        <v>46366</v>
      </c>
      <c r="C606" t="str">
        <f>IFERROR(IF(OR(L606="Fri",L606="Ferie",L606="Syk",L606="Omsorg",B606&lt;Start!$B$7),0,IF(IFERROR(MATCH(B606,Start!A$253:A$273,0),0)&gt;0,VLOOKUP(B606,Start!A$253:F$273,3,FALSE)/100*Start!$B$4,VLOOKUP(WEEKDAY(B606,2),Start!A$240:F$246,4,FALSE))),"")</f>
        <v/>
      </c>
      <c r="D606" t="str">
        <f>IFERROR(IF(OR(U606="Fri",U606="Ferie",U606="Syk",U606="Omsorg",B606&lt;Start!$F$7),0,IF(IFERROR(MATCH(B606,Start!A$253:A$273,0),0)&gt;0,VLOOKUP(B606,Start!A$253:F$273,3,FALSE)/100*Start!$F$4,VLOOKUP(WEEKDAY(B606,2),Start!A$240:F$246,6,FALSE))),"")</f>
        <v/>
      </c>
      <c r="E606">
        <f t="shared" ca="1" si="632"/>
        <v>0</v>
      </c>
      <c r="F606">
        <f>IFERROR(IF(YEAR(B606)=Start!$B$1,MONTH(B606),""),"")</f>
        <v>12</v>
      </c>
      <c r="G606" s="64" t="str">
        <f>IFERROR(VLOOKUP(B606,Start!A$111:B$273,2,FALSE),"")</f>
        <v/>
      </c>
      <c r="H606" s="21"/>
      <c r="I606" s="78">
        <v>0.33333333333333331</v>
      </c>
      <c r="J606" s="78">
        <v>0.33333333333333331</v>
      </c>
      <c r="K606" s="1" t="str">
        <f>IF(Start!$B$6="Ja","",IF(((J606-I606)*24)&gt;=5.5,"X",""))</f>
        <v/>
      </c>
      <c r="L606" s="1" t="str">
        <f>IF(_xlfn.IFNA(MATCH($A603,Start!$H$3:$H$11,0),0)&gt;0,"Ferie",IFERROR(IF(VLOOKUP(B606,Start!A$165:B$234,2,FALSE)&gt;0,"Fri",0),IF(AND((J606-I606)=0,Z606=""),"",MAX((IF(K606="X",(J606-I606)*24-0.5,(J606-I606)*24)),Z606))))</f>
        <v/>
      </c>
      <c r="M606" s="58"/>
      <c r="N606" s="21" t="str">
        <f t="shared" si="697"/>
        <v/>
      </c>
      <c r="O606" s="21" t="str">
        <f t="shared" si="698"/>
        <v/>
      </c>
      <c r="P606" s="2"/>
      <c r="Q606" s="21"/>
      <c r="R606" s="78">
        <v>0.33333333333333331</v>
      </c>
      <c r="S606" s="78">
        <v>0.33333333333333331</v>
      </c>
      <c r="T606" s="1" t="str">
        <f>IF(Start!$B$6="Ja","",IF(((S606-R606)*24)&gt;=5.5,"X",""))</f>
        <v/>
      </c>
      <c r="U606" s="1" t="str">
        <f>IF(_xlfn.IFNA(MATCH($A$15,Start!$H$3:$H$11,0),0)&gt;0,"Ferie",(IF(L606="fri","Fri",(IF(L606="syk","Syk",IF(L606="Ferie","Ferie",IF(AND((S606-R606)=0,AB606=""),"",MAX((IF(T606="X",(S606-R606)*24-0.5,(S606-R606)*24)),AB606))))))))</f>
        <v/>
      </c>
      <c r="V606" s="58"/>
      <c r="W606" s="21" t="str">
        <f t="shared" si="699"/>
        <v/>
      </c>
      <c r="X606" s="21" t="str">
        <f t="shared" si="700"/>
        <v/>
      </c>
      <c r="Z606" s="70" t="str">
        <f>IF(SUMIFS(TrackingTime!H:H,TrackingTime!F:F,Timer!B606,TrackingTime!C:C,"Hovedkontoret")&gt;0,SUMIFS(TrackingTime!H:H,TrackingTime!F:F,Timer!B606,TrackingTime!C:C,"Hovedkontoret"),"")</f>
        <v/>
      </c>
      <c r="AA606" s="71" t="str">
        <f t="shared" si="683"/>
        <v/>
      </c>
      <c r="AB606" t="str">
        <f>IF(SUMIFS(TrackingTime!H:H,TrackingTime!F:F,Timer!B606,TrackingTime!C:C,Start!$F$3)&gt;0,SUMIFS(TrackingTime!H:H,TrackingTime!F:F,Timer!B606,TrackingTime!C:C,Start!$F$3),"")</f>
        <v/>
      </c>
      <c r="AC606" s="71" t="str">
        <f t="shared" si="685"/>
        <v/>
      </c>
    </row>
    <row r="607" spans="1:29" x14ac:dyDescent="0.25">
      <c r="A607" s="15"/>
      <c r="B607" s="63">
        <f t="shared" si="701"/>
        <v>46367</v>
      </c>
      <c r="C607" t="str">
        <f>IFERROR(IF(OR(L607="Fri",L607="Ferie",L607="Syk",L607="Omsorg",B607&lt;Start!$B$7),0,IF(IFERROR(MATCH(B607,Start!A$253:A$273,0),0)&gt;0,VLOOKUP(B607,Start!A$253:F$273,3,FALSE)/100*Start!$B$4,VLOOKUP(WEEKDAY(B607,2),Start!A$240:F$246,4,FALSE))),"")</f>
        <v/>
      </c>
      <c r="D607" t="str">
        <f>IFERROR(IF(OR(U607="Fri",U607="Ferie",U607="Syk",U607="Omsorg",B607&lt;Start!$F$7),0,IF(IFERROR(MATCH(B607,Start!A$253:A$273,0),0)&gt;0,VLOOKUP(B607,Start!A$253:F$273,3,FALSE)/100*Start!$F$4,VLOOKUP(WEEKDAY(B607,2),Start!A$240:F$246,6,FALSE))),"")</f>
        <v/>
      </c>
      <c r="E607">
        <f t="shared" ca="1" si="632"/>
        <v>0</v>
      </c>
      <c r="F607">
        <f>IFERROR(IF(YEAR(B607)=Start!$B$1,MONTH(B607),""),"")</f>
        <v>12</v>
      </c>
      <c r="G607" s="64" t="str">
        <f>IFERROR(VLOOKUP(B607,Start!A$111:B$273,2,FALSE),"")</f>
        <v/>
      </c>
      <c r="H607" s="21"/>
      <c r="I607" s="78">
        <v>0.33333333333333331</v>
      </c>
      <c r="J607" s="78">
        <v>0.33333333333333331</v>
      </c>
      <c r="K607" s="1" t="str">
        <f>IF(Start!$B$6="Ja","",IF(((J607-I607)*24)&gt;=5.5,"X",""))</f>
        <v/>
      </c>
      <c r="L607" s="1" t="str">
        <f>IF(_xlfn.IFNA(MATCH($A603,Start!$H$3:$H$11,0),0)&gt;0,"Ferie",IFERROR(IF(VLOOKUP(B607,Start!A$165:B$234,2,FALSE)&gt;0,"Fri",0),IF(AND((J607-I607)=0,Z607=""),"",MAX((IF(K607="X",(J607-I607)*24-0.5,(J607-I607)*24)),Z607))))</f>
        <v/>
      </c>
      <c r="M607" s="58"/>
      <c r="N607" s="21" t="str">
        <f t="shared" si="697"/>
        <v/>
      </c>
      <c r="O607" s="21" t="str">
        <f t="shared" si="698"/>
        <v/>
      </c>
      <c r="P607" s="2"/>
      <c r="Q607" s="21"/>
      <c r="R607" s="78">
        <v>0.33333333333333331</v>
      </c>
      <c r="S607" s="78">
        <v>0.33333333333333331</v>
      </c>
      <c r="T607" s="1" t="str">
        <f>IF(Start!$B$6="Ja","",IF(((S607-R607)*24)&gt;=5.5,"X",""))</f>
        <v/>
      </c>
      <c r="U607" s="1" t="str">
        <f>IF(_xlfn.IFNA(MATCH($A$15,Start!$H$3:$H$11,0),0)&gt;0,"Ferie",(IF(L607="fri","Fri",(IF(L607="syk","Syk",IF(L607="Ferie","Ferie",IF(AND((S607-R607)=0,AB607=""),"",MAX((IF(T607="X",(S607-R607)*24-0.5,(S607-R607)*24)),AB607))))))))</f>
        <v/>
      </c>
      <c r="V607" s="58"/>
      <c r="W607" s="21" t="str">
        <f t="shared" si="699"/>
        <v/>
      </c>
      <c r="X607" s="21" t="str">
        <f t="shared" si="700"/>
        <v/>
      </c>
      <c r="Z607" s="70" t="str">
        <f>IF(SUMIFS(TrackingTime!H:H,TrackingTime!F:F,Timer!B607,TrackingTime!C:C,"Hovedkontoret")&gt;0,SUMIFS(TrackingTime!H:H,TrackingTime!F:F,Timer!B607,TrackingTime!C:C,"Hovedkontoret"),"")</f>
        <v/>
      </c>
      <c r="AA607" s="71" t="str">
        <f t="shared" si="683"/>
        <v/>
      </c>
      <c r="AB607" t="str">
        <f>IF(SUMIFS(TrackingTime!H:H,TrackingTime!F:F,Timer!B607,TrackingTime!C:C,Start!$F$3)&gt;0,SUMIFS(TrackingTime!H:H,TrackingTime!F:F,Timer!B607,TrackingTime!C:C,Start!$F$3),"")</f>
        <v/>
      </c>
      <c r="AC607" s="71" t="str">
        <f t="shared" si="685"/>
        <v/>
      </c>
    </row>
    <row r="608" spans="1:29" x14ac:dyDescent="0.25">
      <c r="A608" s="15"/>
      <c r="B608" s="63">
        <f t="shared" si="701"/>
        <v>46368</v>
      </c>
      <c r="C608">
        <f>IFERROR(IF(OR(L608="Fri",L608="Ferie",L608="Syk",L608="Omsorg",B608&lt;Start!$B$7),0,IF(IFERROR(MATCH(B608,Start!A$253:A$273,0),0)&gt;0,VLOOKUP(B608,Start!A$253:F$273,3,FALSE)/100*Start!$B$4,VLOOKUP(WEEKDAY(B608,2),Start!A$240:F$246,4,FALSE))),"")</f>
        <v>0</v>
      </c>
      <c r="D608">
        <f>IFERROR(IF(OR(U608="Fri",U608="Ferie",U608="Syk",U608="Omsorg",B608&lt;Start!$F$7),0,IF(IFERROR(MATCH(B608,Start!A$253:A$273,0),0)&gt;0,VLOOKUP(B608,Start!A$253:F$273,3,FALSE)/100*Start!$F$4,VLOOKUP(WEEKDAY(B608,2),Start!A$240:F$246,6,FALSE))),"")</f>
        <v>0</v>
      </c>
      <c r="E608">
        <f t="shared" ca="1" si="632"/>
        <v>0</v>
      </c>
      <c r="F608">
        <f>IFERROR(IF(YEAR(B608)=Start!$B$1,MONTH(B608),""),"")</f>
        <v>12</v>
      </c>
      <c r="G608" s="64" t="str">
        <f>IFERROR(VLOOKUP(B608,Start!A$111:B$273,2,FALSE),"")</f>
        <v/>
      </c>
      <c r="H608" s="21"/>
      <c r="I608" s="78">
        <v>0.41666666666666669</v>
      </c>
      <c r="J608" s="78">
        <v>0.41666666666666669</v>
      </c>
      <c r="K608" s="1" t="str">
        <f>IF(Start!$B$6="Ja","",IF(((J608-I608)*24)&gt;=5.5,"X",""))</f>
        <v/>
      </c>
      <c r="L608" s="1" t="str">
        <f t="shared" ref="L608:L609" si="702">IF(AND((J608-I608)=0,Z608=""),"",MAX((IF(K608="X",(J608-I608)*24-0.5,(J608-I608)*24)),Z608))</f>
        <v/>
      </c>
      <c r="M608" s="58"/>
      <c r="N608" s="21" t="str">
        <f t="shared" si="697"/>
        <v/>
      </c>
      <c r="O608" s="21" t="str">
        <f t="shared" si="698"/>
        <v/>
      </c>
      <c r="P608" s="2"/>
      <c r="Q608" s="21"/>
      <c r="R608" s="78">
        <v>0.41666666666666669</v>
      </c>
      <c r="S608" s="78">
        <v>0.41666666666666669</v>
      </c>
      <c r="T608" s="1" t="str">
        <f>IF(Start!$B$6="Ja","",IF(((S608-R608)*24)&gt;=5.5,"X",""))</f>
        <v/>
      </c>
      <c r="U608" s="1" t="str">
        <f t="shared" ref="U608:U609" si="703">IF(AND((S608-R608)=0,AB608=""),"",MAX((IF(T608="X",(S608-R608)*24-0.5,(S608-R608)*24)),AB608))</f>
        <v/>
      </c>
      <c r="V608" s="58"/>
      <c r="W608" s="21" t="str">
        <f t="shared" si="699"/>
        <v/>
      </c>
      <c r="X608" s="21" t="str">
        <f t="shared" si="700"/>
        <v/>
      </c>
      <c r="Z608" s="70" t="str">
        <f>IF(SUMIFS(TrackingTime!H:H,TrackingTime!F:F,Timer!B608,TrackingTime!C:C,"Hovedkontoret")&gt;0,SUMIFS(TrackingTime!H:H,TrackingTime!F:F,Timer!B608,TrackingTime!C:C,"Hovedkontoret"),"")</f>
        <v/>
      </c>
      <c r="AA608" s="71" t="str">
        <f t="shared" si="683"/>
        <v/>
      </c>
      <c r="AB608" t="str">
        <f>IF(SUMIFS(TrackingTime!H:H,TrackingTime!F:F,Timer!B608,TrackingTime!C:C,Start!$F$3)&gt;0,SUMIFS(TrackingTime!H:H,TrackingTime!F:F,Timer!B608,TrackingTime!C:C,Start!$F$3),"")</f>
        <v/>
      </c>
      <c r="AC608" s="71" t="str">
        <f t="shared" si="685"/>
        <v/>
      </c>
    </row>
    <row r="609" spans="1:29" x14ac:dyDescent="0.25">
      <c r="A609" s="15"/>
      <c r="B609" s="63">
        <f t="shared" si="701"/>
        <v>46369</v>
      </c>
      <c r="C609">
        <f>IFERROR(IF(OR(L609="Fri",L609="Ferie",L609="Syk",L609="Omsorg",B609&lt;Start!$B$7),0,IF(IFERROR(MATCH(B609,Start!A$253:A$273,0),0)&gt;0,VLOOKUP(B609,Start!A$253:F$273,3,FALSE)/100*Start!$B$4,VLOOKUP(WEEKDAY(B609,2),Start!A$240:F$246,4,FALSE))),"")</f>
        <v>0</v>
      </c>
      <c r="D609">
        <f>IFERROR(IF(OR(U609="Fri",U609="Ferie",U609="Syk",U609="Omsorg",B609&lt;Start!$F$7),0,IF(IFERROR(MATCH(B609,Start!A$253:A$273,0),0)&gt;0,VLOOKUP(B609,Start!A$253:F$273,3,FALSE)/100*Start!$F$4,VLOOKUP(WEEKDAY(B609,2),Start!A$240:F$246,6,FALSE))),"")</f>
        <v>0</v>
      </c>
      <c r="E609">
        <f t="shared" ca="1" si="632"/>
        <v>0</v>
      </c>
      <c r="F609">
        <f>IFERROR(IF(YEAR(B609)=Start!$B$1,MONTH(B609),""),"")</f>
        <v>12</v>
      </c>
      <c r="G609" s="64" t="str">
        <f>IFERROR(VLOOKUP(B609,Start!A$111:B$273,2,FALSE),"")</f>
        <v/>
      </c>
      <c r="H609" s="25"/>
      <c r="I609" s="78">
        <v>0.41666666666666669</v>
      </c>
      <c r="J609" s="78">
        <v>0.41666666666666669</v>
      </c>
      <c r="K609" s="1" t="str">
        <f>IF(Start!$B$6="Ja","",IF(((J609-I609)*24)&gt;=5.5,"X",""))</f>
        <v/>
      </c>
      <c r="L609" s="1" t="str">
        <f t="shared" si="702"/>
        <v/>
      </c>
      <c r="M609" s="58"/>
      <c r="N609" s="21" t="str">
        <f t="shared" si="697"/>
        <v/>
      </c>
      <c r="O609" s="21" t="str">
        <f t="shared" si="698"/>
        <v/>
      </c>
      <c r="Q609" s="25"/>
      <c r="R609" s="78">
        <v>0.41666666666666669</v>
      </c>
      <c r="S609" s="78">
        <v>0.41666666666666669</v>
      </c>
      <c r="T609" s="1" t="str">
        <f>IF(Start!$B$6="Ja","",IF(((S609-R609)*24)&gt;=5.5,"X",""))</f>
        <v/>
      </c>
      <c r="U609" s="1" t="str">
        <f t="shared" si="703"/>
        <v/>
      </c>
      <c r="V609" s="58"/>
      <c r="W609" s="21" t="str">
        <f t="shared" si="699"/>
        <v/>
      </c>
      <c r="X609" s="21" t="str">
        <f t="shared" si="700"/>
        <v/>
      </c>
      <c r="Z609" s="70" t="str">
        <f>IF(SUMIFS(TrackingTime!H:H,TrackingTime!F:F,Timer!B609,TrackingTime!C:C,"Hovedkontoret")&gt;0,SUMIFS(TrackingTime!H:H,TrackingTime!F:F,Timer!B609,TrackingTime!C:C,"Hovedkontoret"),"")</f>
        <v/>
      </c>
      <c r="AA609" s="71" t="str">
        <f t="shared" si="683"/>
        <v/>
      </c>
      <c r="AB609" t="str">
        <f>IF(SUMIFS(TrackingTime!H:H,TrackingTime!F:F,Timer!B609,TrackingTime!C:C,Start!$F$3)&gt;0,SUMIFS(TrackingTime!H:H,TrackingTime!F:F,Timer!B609,TrackingTime!C:C,Start!$F$3),"")</f>
        <v/>
      </c>
      <c r="AC609" s="71" t="str">
        <f t="shared" si="685"/>
        <v/>
      </c>
    </row>
    <row r="610" spans="1:29" x14ac:dyDescent="0.25">
      <c r="A610" s="15"/>
      <c r="B610" s="4" t="s">
        <v>11</v>
      </c>
      <c r="C610" s="24"/>
      <c r="D610" s="24"/>
      <c r="E610" s="24">
        <f t="shared" ca="1" si="632"/>
        <v>0</v>
      </c>
      <c r="F610" s="24" t="str">
        <f>IFERROR(IF(YEAR(B610)=Start!$B$1,MONTH(B610),""),"")</f>
        <v/>
      </c>
      <c r="G610" s="64" t="str">
        <f>IFERROR(VLOOKUP(B610,Start!A$111:B$273,2,FALSE),"")</f>
        <v/>
      </c>
      <c r="H610" s="4"/>
      <c r="I610" s="4"/>
      <c r="J610" s="4"/>
      <c r="K610" s="4"/>
      <c r="L610" s="5">
        <f t="shared" si="688"/>
        <v>0</v>
      </c>
      <c r="N610" s="24"/>
      <c r="O610" s="39">
        <f t="shared" ref="O610" si="704">SUM(O603:O609)</f>
        <v>0</v>
      </c>
      <c r="P610" s="40"/>
      <c r="Q610" s="41"/>
      <c r="R610" s="4"/>
      <c r="S610" s="4"/>
      <c r="T610" s="4"/>
      <c r="U610" s="5">
        <f t="shared" ref="U610" si="705">SUM($U603:$U609)</f>
        <v>0</v>
      </c>
      <c r="V610" s="58"/>
      <c r="W610" s="39"/>
      <c r="X610" s="39">
        <f t="shared" si="674"/>
        <v>0</v>
      </c>
      <c r="Z610" s="70" t="str">
        <f>IF(SUMIFS(TrackingTime!H:H,TrackingTime!F:F,Timer!B610,TrackingTime!C:C,"Hovedkontoret")&gt;0,SUMIFS(TrackingTime!H:H,TrackingTime!F:F,Timer!B610,TrackingTime!C:C,"Hovedkontoret"),"")</f>
        <v/>
      </c>
      <c r="AA610" s="71" t="str">
        <f t="shared" si="683"/>
        <v/>
      </c>
      <c r="AB610" t="str">
        <f>IF(SUMIFS(TrackingTime!H:H,TrackingTime!F:F,Timer!B610,TrackingTime!C:C,Start!$F$3)&gt;0,SUMIFS(TrackingTime!H:H,TrackingTime!F:F,Timer!B610,TrackingTime!C:C,Start!$F$3),"")</f>
        <v/>
      </c>
      <c r="AC610" s="71" t="str">
        <f t="shared" si="685"/>
        <v/>
      </c>
    </row>
    <row r="611" spans="1:29" x14ac:dyDescent="0.25">
      <c r="A611" s="15"/>
      <c r="B611" t="s">
        <v>90</v>
      </c>
      <c r="E611">
        <f t="shared" ca="1" si="632"/>
        <v>0</v>
      </c>
      <c r="F611" t="str">
        <f>IFERROR(IF(YEAR(B611)=Start!$B$1,MONTH(B611),""),"")</f>
        <v/>
      </c>
      <c r="G611" s="64" t="str">
        <f>IFERROR(VLOOKUP(B611,Start!A$111:B$273,2,FALSE),"")</f>
        <v/>
      </c>
      <c r="L611" s="1">
        <f t="shared" si="691"/>
        <v>0</v>
      </c>
      <c r="M611" s="1"/>
      <c r="N611" s="1"/>
      <c r="O611" s="21">
        <f t="shared" ref="O611" si="706">L611</f>
        <v>0</v>
      </c>
      <c r="P611" s="40"/>
      <c r="Q611" s="21"/>
      <c r="U611" s="1">
        <f t="shared" ref="U611" si="707">SUMIFS(D603:D609,F603:F609,"&gt;0")</f>
        <v>0</v>
      </c>
      <c r="V611" s="1"/>
      <c r="W611" s="1"/>
      <c r="X611" s="21">
        <f>U611</f>
        <v>0</v>
      </c>
      <c r="Z611" s="70" t="str">
        <f>IF(SUMIFS(TrackingTime!H:H,TrackingTime!F:F,Timer!B611,TrackingTime!C:C,"Hovedkontoret")&gt;0,SUMIFS(TrackingTime!H:H,TrackingTime!F:F,Timer!B611,TrackingTime!C:C,"Hovedkontoret"),"")</f>
        <v/>
      </c>
      <c r="AA611" s="71" t="str">
        <f t="shared" si="683"/>
        <v/>
      </c>
      <c r="AB611" t="str">
        <f>IF(SUMIFS(TrackingTime!H:H,TrackingTime!F:F,Timer!B611,TrackingTime!C:C,Start!$F$3)&gt;0,SUMIFS(TrackingTime!H:H,TrackingTime!F:F,Timer!B611,TrackingTime!C:C,Start!$F$3),"")</f>
        <v/>
      </c>
      <c r="AC611" s="71" t="str">
        <f t="shared" si="685"/>
        <v/>
      </c>
    </row>
    <row r="612" spans="1:29" x14ac:dyDescent="0.25">
      <c r="A612" s="16">
        <f>B609-B603-1</f>
        <v>5</v>
      </c>
      <c r="B612" t="s">
        <v>117</v>
      </c>
      <c r="E612">
        <f t="shared" ca="1" si="632"/>
        <v>0</v>
      </c>
      <c r="F612" t="str">
        <f>IFERROR(IF(YEAR(B612)=Start!$B$1,MONTH(B612),""),"")</f>
        <v/>
      </c>
      <c r="G612" s="64" t="str">
        <f>IFERROR(VLOOKUP(B612,Start!A$111:B$273,2,FALSE),"")</f>
        <v/>
      </c>
      <c r="L612" s="77">
        <f t="shared" ca="1" si="694"/>
        <v>0</v>
      </c>
      <c r="O612" s="21">
        <f t="shared" ref="O612" si="708">O610-O611</f>
        <v>0</v>
      </c>
      <c r="P612" s="21"/>
      <c r="Q612" s="21"/>
      <c r="U612" s="1">
        <f t="shared" ref="U612" ca="1" si="709">U610-U611*(IF(NETWORKDAYS($B603,TODAY())&lt;0,0,IF(NETWORKDAYS($B603,TODAY())&lt;=$A612,NETWORKDAYS($B603,TODAY()),$A612)))/$A612</f>
        <v>0</v>
      </c>
      <c r="V612" s="58"/>
      <c r="W612" s="21"/>
      <c r="X612" s="21">
        <f>X610-X611</f>
        <v>0</v>
      </c>
      <c r="Z612" s="70" t="str">
        <f>IF(SUMIFS(TrackingTime!H:H,TrackingTime!F:F,Timer!B612,TrackingTime!C:C,"Hovedkontoret")&gt;0,SUMIFS(TrackingTime!H:H,TrackingTime!F:F,Timer!B612,TrackingTime!C:C,"Hovedkontoret"),"")</f>
        <v/>
      </c>
      <c r="AA612" s="71" t="str">
        <f t="shared" si="683"/>
        <v/>
      </c>
      <c r="AB612" t="str">
        <f>IF(SUMIFS(TrackingTime!H:H,TrackingTime!F:F,Timer!B612,TrackingTime!C:C,Start!$F$3)&gt;0,SUMIFS(TrackingTime!H:H,TrackingTime!F:F,Timer!B612,TrackingTime!C:C,Start!$F$3),"")</f>
        <v/>
      </c>
      <c r="AC612" s="71" t="str">
        <f t="shared" si="685"/>
        <v/>
      </c>
    </row>
    <row r="613" spans="1:29" x14ac:dyDescent="0.25">
      <c r="A613" s="15"/>
      <c r="E613">
        <f t="shared" ca="1" si="632"/>
        <v>1</v>
      </c>
      <c r="F613" t="str">
        <f>IFERROR(IF(YEAR(B613)=Start!$B$1,MONTH(B613),""),"")</f>
        <v/>
      </c>
      <c r="G613" s="64" t="str">
        <f>IFERROR(VLOOKUP(B613,Start!A$111:B$273,2,FALSE),"")</f>
        <v/>
      </c>
      <c r="O613" s="2"/>
      <c r="P613" s="2"/>
      <c r="U613" s="1"/>
      <c r="V613" s="7"/>
      <c r="X613" s="2"/>
      <c r="Z613" s="70" t="str">
        <f>IF(SUMIFS(TrackingTime!H:H,TrackingTime!F:F,Timer!B613,TrackingTime!C:C,"Hovedkontoret")&gt;0,SUMIFS(TrackingTime!H:H,TrackingTime!F:F,Timer!B613,TrackingTime!C:C,"Hovedkontoret"),"")</f>
        <v/>
      </c>
      <c r="AA613" s="71" t="str">
        <f t="shared" si="683"/>
        <v/>
      </c>
      <c r="AB613" t="str">
        <f>IF(SUMIFS(TrackingTime!H:H,TrackingTime!F:F,Timer!B613,TrackingTime!C:C,Start!$F$3)&gt;0,SUMIFS(TrackingTime!H:H,TrackingTime!F:F,Timer!B613,TrackingTime!C:C,Start!$F$3),"")</f>
        <v/>
      </c>
      <c r="AC613" s="71" t="str">
        <f t="shared" si="685"/>
        <v/>
      </c>
    </row>
    <row r="614" spans="1:29" x14ac:dyDescent="0.25">
      <c r="A614" s="2" t="s">
        <v>82</v>
      </c>
      <c r="B614" s="14" t="s">
        <v>83</v>
      </c>
      <c r="E614">
        <f t="shared" ref="E614:E649" ca="1" si="710">IF(B614&gt;TODAY(),0,1)</f>
        <v>0</v>
      </c>
      <c r="F614" t="str">
        <f>IFERROR(IF(YEAR(B614)=Start!$B$1,MONTH(B614),""),"")</f>
        <v/>
      </c>
      <c r="G614" s="64" t="str">
        <f>IFERROR(VLOOKUP(B614,Start!A$111:B$273,2,FALSE),"")</f>
        <v/>
      </c>
      <c r="H614" s="2" t="s">
        <v>86</v>
      </c>
      <c r="I614" s="2" t="s">
        <v>125</v>
      </c>
      <c r="J614" s="2" t="s">
        <v>126</v>
      </c>
      <c r="K614" s="2" t="s">
        <v>127</v>
      </c>
      <c r="L614" s="3" t="s">
        <v>87</v>
      </c>
      <c r="M614" s="6"/>
      <c r="N614" s="2" t="s">
        <v>88</v>
      </c>
      <c r="O614" s="2" t="s">
        <v>89</v>
      </c>
      <c r="P614" s="2"/>
      <c r="Q614" s="2" t="s">
        <v>86</v>
      </c>
      <c r="R614" s="2" t="s">
        <v>125</v>
      </c>
      <c r="S614" s="2" t="s">
        <v>126</v>
      </c>
      <c r="T614" s="2" t="s">
        <v>127</v>
      </c>
      <c r="U614" s="3" t="s">
        <v>87</v>
      </c>
      <c r="V614" s="6"/>
      <c r="W614" s="2" t="s">
        <v>88</v>
      </c>
      <c r="X614" s="2" t="s">
        <v>89</v>
      </c>
      <c r="Z614" s="70" t="str">
        <f>IF(SUMIFS(TrackingTime!H:H,TrackingTime!F:F,Timer!B614,TrackingTime!C:C,"Hovedkontoret")&gt;0,SUMIFS(TrackingTime!H:H,TrackingTime!F:F,Timer!B614,TrackingTime!C:C,"Hovedkontoret"),"")</f>
        <v/>
      </c>
      <c r="AA614" s="71" t="str">
        <f t="shared" si="683"/>
        <v/>
      </c>
      <c r="AB614" t="str">
        <f>IF(SUMIFS(TrackingTime!H:H,TrackingTime!F:F,Timer!B614,TrackingTime!C:C,Start!$F$3)&gt;0,SUMIFS(TrackingTime!H:H,TrackingTime!F:F,Timer!B614,TrackingTime!C:C,Start!$F$3),"")</f>
        <v/>
      </c>
      <c r="AC614" s="71" t="str">
        <f t="shared" si="685"/>
        <v/>
      </c>
    </row>
    <row r="615" spans="1:29" x14ac:dyDescent="0.25">
      <c r="A615" s="15">
        <f>WEEKNUM(B615,21)</f>
        <v>51</v>
      </c>
      <c r="B615" s="63">
        <f>B609+(DAY(1))</f>
        <v>46370</v>
      </c>
      <c r="C615" t="str">
        <f>IFERROR(IF(OR(L615="Fri",L615="Ferie",L615="Syk",L615="Omsorg",B615&lt;Start!$B$7),0,IF(IFERROR(MATCH(B615,Start!A$253:A$273,0),0)&gt;0,VLOOKUP(B615,Start!A$253:F$273,3,FALSE)/100*Start!$B$4,VLOOKUP(WEEKDAY(B615,2),Start!A$240:F$246,4,FALSE))),"")</f>
        <v/>
      </c>
      <c r="D615" t="str">
        <f>IFERROR(IF(OR(U615="Fri",U615="Ferie",U615="Syk",U615="Omsorg",B615&lt;Start!$F$7),0,IF(IFERROR(MATCH(B615,Start!A$253:A$273,0),0)&gt;0,VLOOKUP(B615,Start!A$253:F$273,3,FALSE)/100*Start!$F$4,VLOOKUP(WEEKDAY(B615,2),Start!A$240:F$246,6,FALSE))),"")</f>
        <v/>
      </c>
      <c r="E615">
        <f t="shared" ca="1" si="710"/>
        <v>0</v>
      </c>
      <c r="F615">
        <f>IFERROR(IF(YEAR(B615)=Start!$B$1,MONTH(B615),""),"")</f>
        <v>12</v>
      </c>
      <c r="G615" s="64" t="str">
        <f>IFERROR(VLOOKUP(B615,Start!A$111:B$273,2,FALSE),"")</f>
        <v/>
      </c>
      <c r="H615" s="21"/>
      <c r="I615" s="78">
        <v>0.33333333333333331</v>
      </c>
      <c r="J615" s="78">
        <v>0.33333333333333331</v>
      </c>
      <c r="K615" s="1" t="str">
        <f>IF(Start!$B$6="Ja","",IF(((J615-I615)*24)&gt;=5.5,"X",""))</f>
        <v/>
      </c>
      <c r="L615" s="1" t="str">
        <f>IF(_xlfn.IFNA(MATCH($A615,Start!$H$3:$H$11,0),0)&gt;0,"Ferie",IFERROR(IF(VLOOKUP(B615,Start!A$165:B$234,2,FALSE)&gt;0,"Fri",0),IF(AND((J615-I615)=0,Z615=""),"",MAX((IF(K615="X",(J615-I615)*24-0.5,(J615-I615)*24)),Z615))))</f>
        <v/>
      </c>
      <c r="M615" s="58"/>
      <c r="N615" s="21" t="str">
        <f t="shared" ref="N615:N621" si="711">IF(H615=0,"",H615)</f>
        <v/>
      </c>
      <c r="O615" s="21" t="str">
        <f t="shared" ref="O615:O621" si="712">IF(L615=0,"",L615)</f>
        <v/>
      </c>
      <c r="P615" s="2"/>
      <c r="Q615" s="21"/>
      <c r="R615" s="78">
        <v>0.33333333333333331</v>
      </c>
      <c r="S615" s="78">
        <v>0.33333333333333331</v>
      </c>
      <c r="T615" s="1" t="str">
        <f>IF(Start!$B$6="Ja","",IF(((S615-R615)*24)&gt;=5.5,"X",""))</f>
        <v/>
      </c>
      <c r="U615" s="1" t="str">
        <f>IF(_xlfn.IFNA(MATCH($A$15,Start!$H$3:$H$11,0),0)&gt;0,"Ferie",(IF(L615="fri","Fri",(IF(L615="syk","Syk",IF(L615="Ferie","Ferie",IF(AND((S615-R615)=0,AB615=""),"",MAX((IF(T615="X",(S615-R615)*24-0.5,(S615-R615)*24)),AB615))))))))</f>
        <v/>
      </c>
      <c r="V615" s="58"/>
      <c r="W615" s="21" t="str">
        <f t="shared" ref="W615:W621" si="713">IF(Q615=0,"",Q615)</f>
        <v/>
      </c>
      <c r="X615" s="21" t="str">
        <f t="shared" ref="X615:X621" si="714">IF(U615=0,"",U615)</f>
        <v/>
      </c>
      <c r="Z615" s="70" t="str">
        <f>IF(SUMIFS(TrackingTime!H:H,TrackingTime!F:F,Timer!B615,TrackingTime!C:C,"Hovedkontoret")&gt;0,SUMIFS(TrackingTime!H:H,TrackingTime!F:F,Timer!B615,TrackingTime!C:C,"Hovedkontoret"),"")</f>
        <v/>
      </c>
      <c r="AA615" s="71" t="str">
        <f t="shared" si="683"/>
        <v/>
      </c>
      <c r="AB615" t="str">
        <f>IF(SUMIFS(TrackingTime!H:H,TrackingTime!F:F,Timer!B615,TrackingTime!C:C,Start!$F$3)&gt;0,SUMIFS(TrackingTime!H:H,TrackingTime!F:F,Timer!B615,TrackingTime!C:C,Start!$F$3),"")</f>
        <v/>
      </c>
      <c r="AC615" s="71" t="str">
        <f t="shared" si="685"/>
        <v/>
      </c>
    </row>
    <row r="616" spans="1:29" x14ac:dyDescent="0.25">
      <c r="A616" s="15"/>
      <c r="B616" s="63">
        <f t="shared" ref="B616:B621" si="715">B615+DAY(1)</f>
        <v>46371</v>
      </c>
      <c r="C616" t="str">
        <f>IFERROR(IF(OR(L616="Fri",L616="Ferie",L616="Syk",L616="Omsorg",B616&lt;Start!$B$7),0,IF(IFERROR(MATCH(B616,Start!A$253:A$273,0),0)&gt;0,VLOOKUP(B616,Start!A$253:F$273,3,FALSE)/100*Start!$B$4,VLOOKUP(WEEKDAY(B616,2),Start!A$240:F$246,4,FALSE))),"")</f>
        <v/>
      </c>
      <c r="D616" t="str">
        <f>IFERROR(IF(OR(U616="Fri",U616="Ferie",U616="Syk",U616="Omsorg",B616&lt;Start!$F$7),0,IF(IFERROR(MATCH(B616,Start!A$253:A$273,0),0)&gt;0,VLOOKUP(B616,Start!A$253:F$273,3,FALSE)/100*Start!$F$4,VLOOKUP(WEEKDAY(B616,2),Start!A$240:F$246,6,FALSE))),"")</f>
        <v/>
      </c>
      <c r="E616">
        <f t="shared" ca="1" si="710"/>
        <v>0</v>
      </c>
      <c r="F616">
        <f>IFERROR(IF(YEAR(B616)=Start!$B$1,MONTH(B616),""),"")</f>
        <v>12</v>
      </c>
      <c r="G616" s="64" t="str">
        <f>IFERROR(VLOOKUP(B616,Start!A$111:B$273,2,FALSE),"")</f>
        <v/>
      </c>
      <c r="H616" s="21"/>
      <c r="I616" s="78">
        <v>0.33333333333333331</v>
      </c>
      <c r="J616" s="78">
        <v>0.33333333333333331</v>
      </c>
      <c r="K616" s="1" t="str">
        <f>IF(Start!$B$6="Ja","",IF(((J616-I616)*24)&gt;=5.5,"X",""))</f>
        <v/>
      </c>
      <c r="L616" s="1" t="str">
        <f>IF(_xlfn.IFNA(MATCH($A615,Start!$H$3:$H$11,0),0)&gt;0,"Ferie",IFERROR(IF(VLOOKUP($B616,Start!$A$165:$B$234,2,FALSE)&gt;0,"Fri",0),IF(AND((J616-I616)=0,Z616=""),"",MAX((IF(K616="X",(J616-I616)*24-0.5,(J616-I616)*24)),Z616))))</f>
        <v/>
      </c>
      <c r="M616" s="58"/>
      <c r="N616" s="21" t="str">
        <f t="shared" si="711"/>
        <v/>
      </c>
      <c r="O616" s="21" t="str">
        <f t="shared" si="712"/>
        <v/>
      </c>
      <c r="P616" s="2"/>
      <c r="Q616" s="21"/>
      <c r="R616" s="78">
        <v>0.33333333333333331</v>
      </c>
      <c r="S616" s="78">
        <v>0.33333333333333331</v>
      </c>
      <c r="T616" s="1" t="str">
        <f>IF(Start!$B$6="Ja","",IF(((S616-R616)*24)&gt;=5.5,"X",""))</f>
        <v/>
      </c>
      <c r="U616" s="1" t="str">
        <f>IF(_xlfn.IFNA(MATCH($A$15,Start!$H$3:$H$11,0),0)&gt;0,"Ferie",(IF(L616="fri","Fri",(IF(L616="syk","Syk",IF(L616="Ferie","Ferie",IF(AND((S616-R616)=0,AB616=""),"",MAX((IF(T616="X",(S616-R616)*24-0.5,(S616-R616)*24)),AB616))))))))</f>
        <v/>
      </c>
      <c r="V616" s="58"/>
      <c r="W616" s="21" t="str">
        <f t="shared" si="713"/>
        <v/>
      </c>
      <c r="X616" s="21" t="str">
        <f t="shared" si="714"/>
        <v/>
      </c>
      <c r="Z616" s="70" t="str">
        <f>IF(SUMIFS(TrackingTime!H:H,TrackingTime!F:F,Timer!B616,TrackingTime!C:C,"Hovedkontoret")&gt;0,SUMIFS(TrackingTime!H:H,TrackingTime!F:F,Timer!B616,TrackingTime!C:C,"Hovedkontoret"),"")</f>
        <v/>
      </c>
      <c r="AA616" s="71" t="str">
        <f t="shared" si="683"/>
        <v/>
      </c>
      <c r="AB616" t="str">
        <f>IF(SUMIFS(TrackingTime!H:H,TrackingTime!F:F,Timer!B616,TrackingTime!C:C,Start!$F$3)&gt;0,SUMIFS(TrackingTime!H:H,TrackingTime!F:F,Timer!B616,TrackingTime!C:C,Start!$F$3),"")</f>
        <v/>
      </c>
      <c r="AC616" s="71" t="str">
        <f t="shared" si="685"/>
        <v/>
      </c>
    </row>
    <row r="617" spans="1:29" x14ac:dyDescent="0.25">
      <c r="A617" s="15"/>
      <c r="B617" s="63">
        <f t="shared" si="715"/>
        <v>46372</v>
      </c>
      <c r="C617" t="str">
        <f>IFERROR(IF(OR(L617="Fri",L617="Ferie",L617="Syk",L617="Omsorg",B617&lt;Start!$B$7),0,IF(IFERROR(MATCH(B617,Start!A$253:A$273,0),0)&gt;0,VLOOKUP(B617,Start!A$253:F$273,3,FALSE)/100*Start!$B$4,VLOOKUP(WEEKDAY(B617,2),Start!A$240:F$246,4,FALSE))),"")</f>
        <v/>
      </c>
      <c r="D617" t="str">
        <f>IFERROR(IF(OR(U617="Fri",U617="Ferie",U617="Syk",U617="Omsorg",B617&lt;Start!$F$7),0,IF(IFERROR(MATCH(B617,Start!A$253:A$273,0),0)&gt;0,VLOOKUP(B617,Start!A$253:F$273,3,FALSE)/100*Start!$F$4,VLOOKUP(WEEKDAY(B617,2),Start!A$240:F$246,6,FALSE))),"")</f>
        <v/>
      </c>
      <c r="E617">
        <f t="shared" ca="1" si="710"/>
        <v>0</v>
      </c>
      <c r="F617">
        <f>IFERROR(IF(YEAR(B617)=Start!$B$1,MONTH(B617),""),"")</f>
        <v>12</v>
      </c>
      <c r="G617" s="64" t="str">
        <f>IFERROR(VLOOKUP(B617,Start!A$111:B$273,2,FALSE),"")</f>
        <v/>
      </c>
      <c r="H617" s="21"/>
      <c r="I617" s="78">
        <v>0.33333333333333331</v>
      </c>
      <c r="J617" s="78">
        <v>0.33333333333333331</v>
      </c>
      <c r="K617" s="1" t="str">
        <f>IF(Start!$B$6="Ja","",IF(((J617-I617)*24)&gt;=5.5,"X",""))</f>
        <v/>
      </c>
      <c r="L617" s="1" t="str">
        <f>IF(_xlfn.IFNA(MATCH($A615,Start!$H$3:$H$11,0),0)&gt;0,"Ferie",IFERROR(IF(VLOOKUP(B617,Start!A$165:B$234,2,FALSE)&gt;0,"Fri",0),IF(AND((J617-I617)=0,Z617=""),"",MAX((IF(K617="X",(J617-I617)*24-0.5,(J617-I617)*24)),Z617))))</f>
        <v/>
      </c>
      <c r="M617" s="58"/>
      <c r="N617" s="21" t="str">
        <f t="shared" si="711"/>
        <v/>
      </c>
      <c r="O617" s="21" t="str">
        <f t="shared" si="712"/>
        <v/>
      </c>
      <c r="P617" s="2"/>
      <c r="Q617" s="21"/>
      <c r="R617" s="78">
        <v>0.33333333333333331</v>
      </c>
      <c r="S617" s="78">
        <v>0.33333333333333331</v>
      </c>
      <c r="T617" s="1" t="str">
        <f>IF(Start!$B$6="Ja","",IF(((S617-R617)*24)&gt;=5.5,"X",""))</f>
        <v/>
      </c>
      <c r="U617" s="1" t="str">
        <f>IF(_xlfn.IFNA(MATCH($A$15,Start!$H$3:$H$11,0),0)&gt;0,"Ferie",(IF(L617="fri","Fri",(IF(L617="syk","Syk",IF(L617="Ferie","Ferie",IF(AND((S617-R617)=0,AB617=""),"",MAX((IF(T617="X",(S617-R617)*24-0.5,(S617-R617)*24)),AB617))))))))</f>
        <v/>
      </c>
      <c r="V617" s="58"/>
      <c r="W617" s="21" t="str">
        <f t="shared" si="713"/>
        <v/>
      </c>
      <c r="X617" s="21" t="str">
        <f t="shared" si="714"/>
        <v/>
      </c>
      <c r="Z617" s="70" t="str">
        <f>IF(SUMIFS(TrackingTime!H:H,TrackingTime!F:F,Timer!B617,TrackingTime!C:C,"Hovedkontoret")&gt;0,SUMIFS(TrackingTime!H:H,TrackingTime!F:F,Timer!B617,TrackingTime!C:C,"Hovedkontoret"),"")</f>
        <v/>
      </c>
      <c r="AA617" s="71" t="str">
        <f t="shared" si="683"/>
        <v/>
      </c>
      <c r="AB617" t="str">
        <f>IF(SUMIFS(TrackingTime!H:H,TrackingTime!F:F,Timer!B617,TrackingTime!C:C,Start!$F$3)&gt;0,SUMIFS(TrackingTime!H:H,TrackingTime!F:F,Timer!B617,TrackingTime!C:C,Start!$F$3),"")</f>
        <v/>
      </c>
      <c r="AC617" s="71" t="str">
        <f t="shared" si="685"/>
        <v/>
      </c>
    </row>
    <row r="618" spans="1:29" x14ac:dyDescent="0.25">
      <c r="A618" s="15"/>
      <c r="B618" s="63">
        <f t="shared" si="715"/>
        <v>46373</v>
      </c>
      <c r="C618" t="str">
        <f>IFERROR(IF(OR(L618="Fri",L618="Ferie",L618="Syk",L618="Omsorg",B618&lt;Start!$B$7),0,IF(IFERROR(MATCH(B618,Start!A$253:A$273,0),0)&gt;0,VLOOKUP(B618,Start!A$253:F$273,3,FALSE)/100*Start!$B$4,VLOOKUP(WEEKDAY(B618,2),Start!A$240:F$246,4,FALSE))),"")</f>
        <v/>
      </c>
      <c r="D618" t="str">
        <f>IFERROR(IF(OR(U618="Fri",U618="Ferie",U618="Syk",U618="Omsorg",B618&lt;Start!$F$7),0,IF(IFERROR(MATCH(B618,Start!A$253:A$273,0),0)&gt;0,VLOOKUP(B618,Start!A$253:F$273,3,FALSE)/100*Start!$F$4,VLOOKUP(WEEKDAY(B618,2),Start!A$240:F$246,6,FALSE))),"")</f>
        <v/>
      </c>
      <c r="E618">
        <f t="shared" ca="1" si="710"/>
        <v>0</v>
      </c>
      <c r="F618">
        <f>IFERROR(IF(YEAR(B618)=Start!$B$1,MONTH(B618),""),"")</f>
        <v>12</v>
      </c>
      <c r="G618" s="64" t="str">
        <f>IFERROR(VLOOKUP(B618,Start!A$111:B$273,2,FALSE),"")</f>
        <v/>
      </c>
      <c r="H618" s="21"/>
      <c r="I618" s="78">
        <v>0.33333333333333331</v>
      </c>
      <c r="J618" s="78">
        <v>0.33333333333333331</v>
      </c>
      <c r="K618" s="1" t="str">
        <f>IF(Start!$B$6="Ja","",IF(((J618-I618)*24)&gt;=5.5,"X",""))</f>
        <v/>
      </c>
      <c r="L618" s="1" t="str">
        <f>IF(_xlfn.IFNA(MATCH($A615,Start!$H$3:$H$11,0),0)&gt;0,"Ferie",IFERROR(IF(VLOOKUP(B618,Start!A$165:B$234,2,FALSE)&gt;0,"Fri",0),IF(AND((J618-I618)=0,Z618=""),"",MAX((IF(K618="X",(J618-I618)*24-0.5,(J618-I618)*24)),Z618))))</f>
        <v/>
      </c>
      <c r="M618" s="58"/>
      <c r="N618" s="21" t="str">
        <f t="shared" si="711"/>
        <v/>
      </c>
      <c r="O618" s="21" t="str">
        <f t="shared" si="712"/>
        <v/>
      </c>
      <c r="P618" s="2"/>
      <c r="Q618" s="21"/>
      <c r="R618" s="78">
        <v>0.33333333333333331</v>
      </c>
      <c r="S618" s="78">
        <v>0.33333333333333331</v>
      </c>
      <c r="T618" s="1" t="str">
        <f>IF(Start!$B$6="Ja","",IF(((S618-R618)*24)&gt;=5.5,"X",""))</f>
        <v/>
      </c>
      <c r="U618" s="1" t="str">
        <f>IF(_xlfn.IFNA(MATCH($A$15,Start!$H$3:$H$11,0),0)&gt;0,"Ferie",(IF(L618="fri","Fri",(IF(L618="syk","Syk",IF(L618="Ferie","Ferie",IF(AND((S618-R618)=0,AB618=""),"",MAX((IF(T618="X",(S618-R618)*24-0.5,(S618-R618)*24)),AB618))))))))</f>
        <v/>
      </c>
      <c r="V618" s="58"/>
      <c r="W618" s="21" t="str">
        <f t="shared" si="713"/>
        <v/>
      </c>
      <c r="X618" s="21" t="str">
        <f t="shared" si="714"/>
        <v/>
      </c>
      <c r="Z618" s="70" t="str">
        <f>IF(SUMIFS(TrackingTime!H:H,TrackingTime!F:F,Timer!B618,TrackingTime!C:C,"Hovedkontoret")&gt;0,SUMIFS(TrackingTime!H:H,TrackingTime!F:F,Timer!B618,TrackingTime!C:C,"Hovedkontoret"),"")</f>
        <v/>
      </c>
      <c r="AA618" s="71" t="str">
        <f t="shared" si="683"/>
        <v/>
      </c>
      <c r="AB618" t="str">
        <f>IF(SUMIFS(TrackingTime!H:H,TrackingTime!F:F,Timer!B618,TrackingTime!C:C,Start!$F$3)&gt;0,SUMIFS(TrackingTime!H:H,TrackingTime!F:F,Timer!B618,TrackingTime!C:C,Start!$F$3),"")</f>
        <v/>
      </c>
      <c r="AC618" s="71" t="str">
        <f t="shared" si="685"/>
        <v/>
      </c>
    </row>
    <row r="619" spans="1:29" x14ac:dyDescent="0.25">
      <c r="A619" s="15"/>
      <c r="B619" s="63">
        <f t="shared" si="715"/>
        <v>46374</v>
      </c>
      <c r="C619" t="str">
        <f>IFERROR(IF(OR(L619="Fri",L619="Ferie",L619="Syk",L619="Omsorg",B619&lt;Start!$B$7),0,IF(IFERROR(MATCH(B619,Start!A$253:A$273,0),0)&gt;0,VLOOKUP(B619,Start!A$253:F$273,3,FALSE)/100*Start!$B$4,VLOOKUP(WEEKDAY(B619,2),Start!A$240:F$246,4,FALSE))),"")</f>
        <v/>
      </c>
      <c r="D619" t="str">
        <f>IFERROR(IF(OR(U619="Fri",U619="Ferie",U619="Syk",U619="Omsorg",B619&lt;Start!$F$7),0,IF(IFERROR(MATCH(B619,Start!A$253:A$273,0),0)&gt;0,VLOOKUP(B619,Start!A$253:F$273,3,FALSE)/100*Start!$F$4,VLOOKUP(WEEKDAY(B619,2),Start!A$240:F$246,6,FALSE))),"")</f>
        <v/>
      </c>
      <c r="E619">
        <f t="shared" ca="1" si="710"/>
        <v>0</v>
      </c>
      <c r="F619">
        <f>IFERROR(IF(YEAR(B619)=Start!$B$1,MONTH(B619),""),"")</f>
        <v>12</v>
      </c>
      <c r="G619" s="64" t="str">
        <f>IFERROR(VLOOKUP(B619,Start!A$111:B$273,2,FALSE),"")</f>
        <v/>
      </c>
      <c r="H619" s="21"/>
      <c r="I619" s="78">
        <v>0.33333333333333331</v>
      </c>
      <c r="J619" s="78">
        <v>0.33333333333333331</v>
      </c>
      <c r="K619" s="1" t="str">
        <f>IF(Start!$B$6="Ja","",IF(((J619-I619)*24)&gt;=5.5,"X",""))</f>
        <v/>
      </c>
      <c r="L619" s="1" t="str">
        <f>IF(_xlfn.IFNA(MATCH($A615,Start!$H$3:$H$11,0),0)&gt;0,"Ferie",IFERROR(IF(VLOOKUP(B619,Start!A$165:B$234,2,FALSE)&gt;0,"Fri",0),IF(AND((J619-I619)=0,Z619=""),"",MAX((IF(K619="X",(J619-I619)*24-0.5,(J619-I619)*24)),Z619))))</f>
        <v/>
      </c>
      <c r="M619" s="58"/>
      <c r="N619" s="21" t="str">
        <f t="shared" si="711"/>
        <v/>
      </c>
      <c r="O619" s="21" t="str">
        <f t="shared" si="712"/>
        <v/>
      </c>
      <c r="P619" s="2"/>
      <c r="Q619" s="21"/>
      <c r="R619" s="78">
        <v>0.33333333333333331</v>
      </c>
      <c r="S619" s="78">
        <v>0.33333333333333331</v>
      </c>
      <c r="T619" s="1" t="str">
        <f>IF(Start!$B$6="Ja","",IF(((S619-R619)*24)&gt;=5.5,"X",""))</f>
        <v/>
      </c>
      <c r="U619" s="1" t="str">
        <f>IF(_xlfn.IFNA(MATCH($A$15,Start!$H$3:$H$11,0),0)&gt;0,"Ferie",(IF(L619="fri","Fri",(IF(L619="syk","Syk",IF(L619="Ferie","Ferie",IF(AND((S619-R619)=0,AB619=""),"",MAX((IF(T619="X",(S619-R619)*24-0.5,(S619-R619)*24)),AB619))))))))</f>
        <v/>
      </c>
      <c r="V619" s="58"/>
      <c r="W619" s="21" t="str">
        <f t="shared" si="713"/>
        <v/>
      </c>
      <c r="X619" s="21" t="str">
        <f t="shared" si="714"/>
        <v/>
      </c>
      <c r="Z619" s="70" t="str">
        <f>IF(SUMIFS(TrackingTime!H:H,TrackingTime!F:F,Timer!B619,TrackingTime!C:C,"Hovedkontoret")&gt;0,SUMIFS(TrackingTime!H:H,TrackingTime!F:F,Timer!B619,TrackingTime!C:C,"Hovedkontoret"),"")</f>
        <v/>
      </c>
      <c r="AA619" s="71" t="str">
        <f t="shared" si="683"/>
        <v/>
      </c>
      <c r="AB619" t="str">
        <f>IF(SUMIFS(TrackingTime!H:H,TrackingTime!F:F,Timer!B619,TrackingTime!C:C,Start!$F$3)&gt;0,SUMIFS(TrackingTime!H:H,TrackingTime!F:F,Timer!B619,TrackingTime!C:C,Start!$F$3),"")</f>
        <v/>
      </c>
      <c r="AC619" s="71" t="str">
        <f t="shared" si="685"/>
        <v/>
      </c>
    </row>
    <row r="620" spans="1:29" x14ac:dyDescent="0.25">
      <c r="A620" s="15"/>
      <c r="B620" s="63">
        <f t="shared" si="715"/>
        <v>46375</v>
      </c>
      <c r="C620">
        <f>IFERROR(IF(OR(L620="Fri",L620="Ferie",L620="Syk",L620="Omsorg",B620&lt;Start!$B$7),0,IF(IFERROR(MATCH(B620,Start!A$253:A$273,0),0)&gt;0,VLOOKUP(B620,Start!A$253:F$273,3,FALSE)/100*Start!$B$4,VLOOKUP(WEEKDAY(B620,2),Start!A$240:F$246,4,FALSE))),"")</f>
        <v>0</v>
      </c>
      <c r="D620">
        <f>IFERROR(IF(OR(U620="Fri",U620="Ferie",U620="Syk",U620="Omsorg",B620&lt;Start!$F$7),0,IF(IFERROR(MATCH(B620,Start!A$253:A$273,0),0)&gt;0,VLOOKUP(B620,Start!A$253:F$273,3,FALSE)/100*Start!$F$4,VLOOKUP(WEEKDAY(B620,2),Start!A$240:F$246,6,FALSE))),"")</f>
        <v>0</v>
      </c>
      <c r="E620">
        <f t="shared" ca="1" si="710"/>
        <v>0</v>
      </c>
      <c r="F620">
        <f>IFERROR(IF(YEAR(B620)=Start!$B$1,MONTH(B620),""),"")</f>
        <v>12</v>
      </c>
      <c r="G620" s="64" t="str">
        <f>IFERROR(VLOOKUP(B620,Start!A$111:B$273,2,FALSE),"")</f>
        <v/>
      </c>
      <c r="H620" s="21"/>
      <c r="I620" s="78">
        <v>0.41666666666666669</v>
      </c>
      <c r="J620" s="78">
        <v>0.41666666666666669</v>
      </c>
      <c r="K620" s="1" t="str">
        <f>IF(Start!$B$6="Ja","",IF(((J620-I620)*24)&gt;=5.5,"X",""))</f>
        <v/>
      </c>
      <c r="L620" s="1" t="str">
        <f t="shared" ref="L620:L621" si="716">IF(AND((J620-I620)=0,Z620=""),"",MAX((IF(K620="X",(J620-I620)*24-0.5,(J620-I620)*24)),Z620))</f>
        <v/>
      </c>
      <c r="M620" s="58"/>
      <c r="N620" s="21" t="str">
        <f t="shared" si="711"/>
        <v/>
      </c>
      <c r="O620" s="21" t="str">
        <f t="shared" si="712"/>
        <v/>
      </c>
      <c r="P620" s="2"/>
      <c r="Q620" s="21"/>
      <c r="R620" s="78">
        <v>0.41666666666666669</v>
      </c>
      <c r="S620" s="78">
        <v>0.41666666666666669</v>
      </c>
      <c r="T620" s="1" t="str">
        <f>IF(Start!$B$6="Ja","",IF(((S620-R620)*24)&gt;=5.5,"X",""))</f>
        <v/>
      </c>
      <c r="U620" s="1" t="str">
        <f t="shared" ref="U620:U621" si="717">IF(AND((S620-R620)=0,AB620=""),"",MAX((IF(T620="X",(S620-R620)*24-0.5,(S620-R620)*24)),AB620))</f>
        <v/>
      </c>
      <c r="V620" s="58"/>
      <c r="W620" s="21" t="str">
        <f t="shared" si="713"/>
        <v/>
      </c>
      <c r="X620" s="21" t="str">
        <f t="shared" si="714"/>
        <v/>
      </c>
      <c r="Z620" s="70" t="str">
        <f>IF(SUMIFS(TrackingTime!H:H,TrackingTime!F:F,Timer!B620,TrackingTime!C:C,"Hovedkontoret")&gt;0,SUMIFS(TrackingTime!H:H,TrackingTime!F:F,Timer!B620,TrackingTime!C:C,"Hovedkontoret"),"")</f>
        <v/>
      </c>
      <c r="AA620" s="71" t="str">
        <f t="shared" si="683"/>
        <v/>
      </c>
      <c r="AB620" t="str">
        <f>IF(SUMIFS(TrackingTime!H:H,TrackingTime!F:F,Timer!B620,TrackingTime!C:C,Start!$F$3)&gt;0,SUMIFS(TrackingTime!H:H,TrackingTime!F:F,Timer!B620,TrackingTime!C:C,Start!$F$3),"")</f>
        <v/>
      </c>
      <c r="AC620" s="71" t="str">
        <f t="shared" si="685"/>
        <v/>
      </c>
    </row>
    <row r="621" spans="1:29" x14ac:dyDescent="0.25">
      <c r="A621" s="15"/>
      <c r="B621" s="63">
        <f t="shared" si="715"/>
        <v>46376</v>
      </c>
      <c r="C621">
        <f>IFERROR(IF(OR(L621="Fri",L621="Ferie",L621="Syk",L621="Omsorg",B621&lt;Start!$B$7),0,IF(IFERROR(MATCH(B621,Start!A$253:A$273,0),0)&gt;0,VLOOKUP(B621,Start!A$253:F$273,3,FALSE)/100*Start!$B$4,VLOOKUP(WEEKDAY(B621,2),Start!A$240:F$246,4,FALSE))),"")</f>
        <v>0</v>
      </c>
      <c r="D621">
        <f>IFERROR(IF(OR(U621="Fri",U621="Ferie",U621="Syk",U621="Omsorg",B621&lt;Start!$F$7),0,IF(IFERROR(MATCH(B621,Start!A$253:A$273,0),0)&gt;0,VLOOKUP(B621,Start!A$253:F$273,3,FALSE)/100*Start!$F$4,VLOOKUP(WEEKDAY(B621,2),Start!A$240:F$246,6,FALSE))),"")</f>
        <v>0</v>
      </c>
      <c r="E621">
        <f t="shared" ca="1" si="710"/>
        <v>0</v>
      </c>
      <c r="F621">
        <f>IFERROR(IF(YEAR(B621)=Start!$B$1,MONTH(B621),""),"")</f>
        <v>12</v>
      </c>
      <c r="G621" s="64" t="str">
        <f>IFERROR(VLOOKUP(B621,Start!A$111:B$273,2,FALSE),"")</f>
        <v/>
      </c>
      <c r="H621" s="25"/>
      <c r="I621" s="78">
        <v>0.41666666666666669</v>
      </c>
      <c r="J621" s="78">
        <v>0.41666666666666669</v>
      </c>
      <c r="K621" s="1" t="str">
        <f>IF(Start!$B$6="Ja","",IF(((J621-I621)*24)&gt;=5.5,"X",""))</f>
        <v/>
      </c>
      <c r="L621" s="1" t="str">
        <f t="shared" si="716"/>
        <v/>
      </c>
      <c r="M621" s="58"/>
      <c r="N621" s="21" t="str">
        <f t="shared" si="711"/>
        <v/>
      </c>
      <c r="O621" s="21" t="str">
        <f t="shared" si="712"/>
        <v/>
      </c>
      <c r="Q621" s="25"/>
      <c r="R621" s="78">
        <v>0.41666666666666669</v>
      </c>
      <c r="S621" s="78">
        <v>0.41666666666666669</v>
      </c>
      <c r="T621" s="1" t="str">
        <f>IF(Start!$B$6="Ja","",IF(((S621-R621)*24)&gt;=5.5,"X",""))</f>
        <v/>
      </c>
      <c r="U621" s="1" t="str">
        <f t="shared" si="717"/>
        <v/>
      </c>
      <c r="V621" s="58"/>
      <c r="W621" s="21" t="str">
        <f t="shared" si="713"/>
        <v/>
      </c>
      <c r="X621" s="21" t="str">
        <f t="shared" si="714"/>
        <v/>
      </c>
      <c r="Z621" s="70" t="str">
        <f>IF(SUMIFS(TrackingTime!H:H,TrackingTime!F:F,Timer!B621,TrackingTime!C:C,"Hovedkontoret")&gt;0,SUMIFS(TrackingTime!H:H,TrackingTime!F:F,Timer!B621,TrackingTime!C:C,"Hovedkontoret"),"")</f>
        <v/>
      </c>
      <c r="AA621" s="71" t="str">
        <f t="shared" si="683"/>
        <v/>
      </c>
      <c r="AB621" t="str">
        <f>IF(SUMIFS(TrackingTime!H:H,TrackingTime!F:F,Timer!B621,TrackingTime!C:C,Start!$F$3)&gt;0,SUMIFS(TrackingTime!H:H,TrackingTime!F:F,Timer!B621,TrackingTime!C:C,Start!$F$3),"")</f>
        <v/>
      </c>
      <c r="AC621" s="71" t="str">
        <f t="shared" si="685"/>
        <v/>
      </c>
    </row>
    <row r="622" spans="1:29" x14ac:dyDescent="0.25">
      <c r="A622" s="15"/>
      <c r="B622" s="4" t="s">
        <v>11</v>
      </c>
      <c r="C622" s="24"/>
      <c r="D622" s="24"/>
      <c r="E622" s="24">
        <f t="shared" ca="1" si="710"/>
        <v>0</v>
      </c>
      <c r="F622" s="24" t="str">
        <f>IFERROR(IF(YEAR(B622)=Start!$B$1,MONTH(B622),""),"")</f>
        <v/>
      </c>
      <c r="G622" s="64" t="str">
        <f>IFERROR(VLOOKUP(B622,Start!A$111:B$273,2,FALSE),"")</f>
        <v/>
      </c>
      <c r="H622" s="4"/>
      <c r="I622" s="4"/>
      <c r="J622" s="4"/>
      <c r="K622" s="4"/>
      <c r="L622" s="5">
        <f t="shared" si="688"/>
        <v>0</v>
      </c>
      <c r="N622" s="24"/>
      <c r="O622" s="39">
        <f t="shared" ref="O622" si="718">SUM(O615:O621)</f>
        <v>0</v>
      </c>
      <c r="P622" s="40"/>
      <c r="Q622" s="41"/>
      <c r="R622" s="4"/>
      <c r="S622" s="4"/>
      <c r="T622" s="4"/>
      <c r="U622" s="5">
        <f t="shared" ref="U622" si="719">SUM($U615:$U621)</f>
        <v>0</v>
      </c>
      <c r="V622" s="58"/>
      <c r="W622" s="39"/>
      <c r="X622" s="39">
        <f t="shared" si="674"/>
        <v>0</v>
      </c>
      <c r="Z622" s="70" t="str">
        <f>IF(SUMIFS(TrackingTime!H:H,TrackingTime!F:F,Timer!B622,TrackingTime!C:C,"Hovedkontoret")&gt;0,SUMIFS(TrackingTime!H:H,TrackingTime!F:F,Timer!B622,TrackingTime!C:C,"Hovedkontoret"),"")</f>
        <v/>
      </c>
      <c r="AA622" s="71" t="str">
        <f t="shared" si="683"/>
        <v/>
      </c>
      <c r="AB622" t="str">
        <f>IF(SUMIFS(TrackingTime!H:H,TrackingTime!F:F,Timer!B622,TrackingTime!C:C,Start!$F$3)&gt;0,SUMIFS(TrackingTime!H:H,TrackingTime!F:F,Timer!B622,TrackingTime!C:C,Start!$F$3),"")</f>
        <v/>
      </c>
      <c r="AC622" s="71" t="str">
        <f t="shared" si="685"/>
        <v/>
      </c>
    </row>
    <row r="623" spans="1:29" x14ac:dyDescent="0.25">
      <c r="A623" s="15"/>
      <c r="B623" t="s">
        <v>90</v>
      </c>
      <c r="E623">
        <f t="shared" ca="1" si="710"/>
        <v>0</v>
      </c>
      <c r="F623" t="str">
        <f>IFERROR(IF(YEAR(B623)=Start!$B$1,MONTH(B623),""),"")</f>
        <v/>
      </c>
      <c r="G623" s="64" t="str">
        <f>IFERROR(VLOOKUP(B623,Start!A$111:B$273,2,FALSE),"")</f>
        <v/>
      </c>
      <c r="L623" s="1">
        <f t="shared" si="691"/>
        <v>0</v>
      </c>
      <c r="M623" s="1"/>
      <c r="N623" s="1"/>
      <c r="O623" s="21">
        <f t="shared" ref="O623" si="720">L623</f>
        <v>0</v>
      </c>
      <c r="P623" s="40"/>
      <c r="Q623" s="21"/>
      <c r="U623" s="1">
        <f t="shared" ref="U623" si="721">SUMIFS(D615:D621,F615:F621,"&gt;0")</f>
        <v>0</v>
      </c>
      <c r="V623" s="1"/>
      <c r="W623" s="1"/>
      <c r="X623" s="21">
        <f>U623</f>
        <v>0</v>
      </c>
      <c r="Z623" s="70" t="str">
        <f>IF(SUMIFS(TrackingTime!H:H,TrackingTime!F:F,Timer!B623,TrackingTime!C:C,"Hovedkontoret")&gt;0,SUMIFS(TrackingTime!H:H,TrackingTime!F:F,Timer!B623,TrackingTime!C:C,"Hovedkontoret"),"")</f>
        <v/>
      </c>
      <c r="AA623" s="71" t="str">
        <f t="shared" si="683"/>
        <v/>
      </c>
      <c r="AB623" t="str">
        <f>IF(SUMIFS(TrackingTime!H:H,TrackingTime!F:F,Timer!B623,TrackingTime!C:C,Start!$F$3)&gt;0,SUMIFS(TrackingTime!H:H,TrackingTime!F:F,Timer!B623,TrackingTime!C:C,Start!$F$3),"")</f>
        <v/>
      </c>
      <c r="AC623" s="71" t="str">
        <f t="shared" si="685"/>
        <v/>
      </c>
    </row>
    <row r="624" spans="1:29" x14ac:dyDescent="0.25">
      <c r="A624" s="16">
        <f>B621-B615-1</f>
        <v>5</v>
      </c>
      <c r="B624" t="s">
        <v>117</v>
      </c>
      <c r="E624">
        <f t="shared" ca="1" si="710"/>
        <v>0</v>
      </c>
      <c r="F624" t="str">
        <f>IFERROR(IF(YEAR(B624)=Start!$B$1,MONTH(B624),""),"")</f>
        <v/>
      </c>
      <c r="G624" s="64" t="str">
        <f>IFERROR(VLOOKUP(B624,Start!A$111:B$273,2,FALSE),"")</f>
        <v/>
      </c>
      <c r="L624" s="77">
        <f t="shared" ca="1" si="694"/>
        <v>0</v>
      </c>
      <c r="O624" s="21">
        <f t="shared" ref="O624" si="722">O622-O623</f>
        <v>0</v>
      </c>
      <c r="P624" s="21"/>
      <c r="Q624" s="21"/>
      <c r="U624" s="1">
        <f t="shared" ref="U624" ca="1" si="723">U622-U623*(IF(NETWORKDAYS($B615,TODAY())&lt;0,0,IF(NETWORKDAYS($B615,TODAY())&lt;=$A624,NETWORKDAYS($B615,TODAY()),$A624)))/$A624</f>
        <v>0</v>
      </c>
      <c r="V624" s="58"/>
      <c r="W624" s="21"/>
      <c r="X624" s="21">
        <f>X622-X623</f>
        <v>0</v>
      </c>
      <c r="Z624" s="70" t="str">
        <f>IF(SUMIFS(TrackingTime!H:H,TrackingTime!F:F,Timer!B624,TrackingTime!C:C,"Hovedkontoret")&gt;0,SUMIFS(TrackingTime!H:H,TrackingTime!F:F,Timer!B624,TrackingTime!C:C,"Hovedkontoret"),"")</f>
        <v/>
      </c>
      <c r="AA624" s="71" t="str">
        <f t="shared" si="683"/>
        <v/>
      </c>
      <c r="AB624" t="str">
        <f>IF(SUMIFS(TrackingTime!H:H,TrackingTime!F:F,Timer!B624,TrackingTime!C:C,Start!$F$3)&gt;0,SUMIFS(TrackingTime!H:H,TrackingTime!F:F,Timer!B624,TrackingTime!C:C,Start!$F$3),"")</f>
        <v/>
      </c>
      <c r="AC624" s="71" t="str">
        <f t="shared" si="685"/>
        <v/>
      </c>
    </row>
    <row r="625" spans="1:29" x14ac:dyDescent="0.25">
      <c r="A625" s="15"/>
      <c r="E625">
        <f t="shared" ca="1" si="710"/>
        <v>1</v>
      </c>
      <c r="F625" t="str">
        <f>IFERROR(IF(YEAR(B625)=Start!$B$1,MONTH(B625),""),"")</f>
        <v/>
      </c>
      <c r="G625" s="64" t="str">
        <f>IFERROR(VLOOKUP(B625,Start!A$111:B$273,2,FALSE),"")</f>
        <v/>
      </c>
      <c r="O625" s="2"/>
      <c r="P625" s="2"/>
      <c r="U625" s="1"/>
      <c r="V625" s="7"/>
      <c r="X625" s="2"/>
      <c r="Z625" s="70" t="str">
        <f>IF(SUMIFS(TrackingTime!H:H,TrackingTime!F:F,Timer!B625,TrackingTime!C:C,"Hovedkontoret")&gt;0,SUMIFS(TrackingTime!H:H,TrackingTime!F:F,Timer!B625,TrackingTime!C:C,"Hovedkontoret"),"")</f>
        <v/>
      </c>
      <c r="AA625" s="71" t="str">
        <f t="shared" si="683"/>
        <v/>
      </c>
      <c r="AB625" t="str">
        <f>IF(SUMIFS(TrackingTime!H:H,TrackingTime!F:F,Timer!B625,TrackingTime!C:C,Start!$F$3)&gt;0,SUMIFS(TrackingTime!H:H,TrackingTime!F:F,Timer!B625,TrackingTime!C:C,Start!$F$3),"")</f>
        <v/>
      </c>
      <c r="AC625" s="71" t="str">
        <f t="shared" si="685"/>
        <v/>
      </c>
    </row>
    <row r="626" spans="1:29" x14ac:dyDescent="0.25">
      <c r="A626" s="2" t="s">
        <v>82</v>
      </c>
      <c r="B626" s="14" t="s">
        <v>83</v>
      </c>
      <c r="E626">
        <f t="shared" ca="1" si="710"/>
        <v>0</v>
      </c>
      <c r="F626" t="str">
        <f>IFERROR(IF(YEAR(B626)=Start!$B$1,MONTH(B626),""),"")</f>
        <v/>
      </c>
      <c r="G626" s="64" t="str">
        <f>IFERROR(VLOOKUP(B626,Start!A$111:B$273,2,FALSE),"")</f>
        <v/>
      </c>
      <c r="H626" s="2" t="s">
        <v>86</v>
      </c>
      <c r="I626" s="2" t="s">
        <v>125</v>
      </c>
      <c r="J626" s="2" t="s">
        <v>126</v>
      </c>
      <c r="K626" s="2" t="s">
        <v>127</v>
      </c>
      <c r="L626" s="3" t="s">
        <v>87</v>
      </c>
      <c r="M626" s="6"/>
      <c r="N626" s="2" t="s">
        <v>88</v>
      </c>
      <c r="O626" s="2" t="s">
        <v>89</v>
      </c>
      <c r="P626" s="2"/>
      <c r="Q626" s="2" t="s">
        <v>86</v>
      </c>
      <c r="R626" s="2" t="s">
        <v>125</v>
      </c>
      <c r="S626" s="2" t="s">
        <v>126</v>
      </c>
      <c r="T626" s="2" t="s">
        <v>127</v>
      </c>
      <c r="U626" s="3" t="s">
        <v>87</v>
      </c>
      <c r="V626" s="6"/>
      <c r="W626" s="2" t="s">
        <v>88</v>
      </c>
      <c r="X626" s="2" t="s">
        <v>89</v>
      </c>
      <c r="Z626" s="70" t="str">
        <f>IF(SUMIFS(TrackingTime!H:H,TrackingTime!F:F,Timer!B626,TrackingTime!C:C,"Hovedkontoret")&gt;0,SUMIFS(TrackingTime!H:H,TrackingTime!F:F,Timer!B626,TrackingTime!C:C,"Hovedkontoret"),"")</f>
        <v/>
      </c>
      <c r="AA626" s="71" t="str">
        <f t="shared" si="683"/>
        <v/>
      </c>
      <c r="AB626" t="str">
        <f>IF(SUMIFS(TrackingTime!H:H,TrackingTime!F:F,Timer!B626,TrackingTime!C:C,Start!$F$3)&gt;0,SUMIFS(TrackingTime!H:H,TrackingTime!F:F,Timer!B626,TrackingTime!C:C,Start!$F$3),"")</f>
        <v/>
      </c>
      <c r="AC626" s="71" t="str">
        <f t="shared" si="685"/>
        <v/>
      </c>
    </row>
    <row r="627" spans="1:29" x14ac:dyDescent="0.25">
      <c r="A627" s="15">
        <f>WEEKNUM(B627,21)</f>
        <v>52</v>
      </c>
      <c r="B627" s="63">
        <f>B621+(DAY(1))</f>
        <v>46377</v>
      </c>
      <c r="C627" t="str">
        <f>IFERROR(IF(OR(L627="Fri",L627="Ferie",L627="Syk",L627="Omsorg",B627&lt;Start!$B$7),0,IF(IFERROR(MATCH(B627,Start!A$253:A$273,0),0)&gt;0,VLOOKUP(B627,Start!A$253:F$273,3,FALSE)/100*Start!$B$4,VLOOKUP(WEEKDAY(B627,2),Start!A$240:F$246,4,FALSE))),"")</f>
        <v/>
      </c>
      <c r="D627" t="str">
        <f>IFERROR(IF(OR(U627="Fri",U627="Ferie",U627="Syk",U627="Omsorg",B627&lt;Start!$F$7),0,IF(IFERROR(MATCH(B627,Start!A$253:A$273,0),0)&gt;0,VLOOKUP(B627,Start!A$253:F$273,3,FALSE)/100*Start!$F$4,VLOOKUP(WEEKDAY(B627,2),Start!A$240:F$246,6,FALSE))),"")</f>
        <v/>
      </c>
      <c r="E627">
        <f t="shared" ca="1" si="710"/>
        <v>0</v>
      </c>
      <c r="F627">
        <f>IFERROR(IF(YEAR(B627)=Start!$B$1,MONTH(B627),""),"")</f>
        <v>12</v>
      </c>
      <c r="G627" s="64" t="str">
        <f>IFERROR(VLOOKUP(B627,Start!A$111:B$273,2,FALSE),"")</f>
        <v/>
      </c>
      <c r="H627" s="21"/>
      <c r="I627" s="78">
        <v>0.33333333333333331</v>
      </c>
      <c r="J627" s="78">
        <v>0.33333333333333331</v>
      </c>
      <c r="K627" s="1" t="str">
        <f>IF(Start!$B$6="Ja","",IF(((J627-I627)*24)&gt;=5.5,"X",""))</f>
        <v/>
      </c>
      <c r="L627" s="1" t="str">
        <f>IF(_xlfn.IFNA(MATCH($A627,Start!$H$3:$H$11,0),0)&gt;0,"Ferie",IFERROR(IF(VLOOKUP(B627,Start!A$165:B$234,2,FALSE)&gt;0,"Fri",0),IF(AND((J627-I627)=0,Z627=""),"",MAX((IF(K627="X",(J627-I627)*24-0.5,(J627-I627)*24)),Z627))))</f>
        <v/>
      </c>
      <c r="M627" s="58"/>
      <c r="N627" s="21" t="str">
        <f t="shared" ref="N627:N633" si="724">IF(H627=0,"",H627)</f>
        <v/>
      </c>
      <c r="O627" s="21" t="str">
        <f t="shared" ref="O627:O633" si="725">IF(L627=0,"",L627)</f>
        <v/>
      </c>
      <c r="P627" s="2"/>
      <c r="Q627" s="21"/>
      <c r="R627" s="78">
        <v>0.33333333333333331</v>
      </c>
      <c r="S627" s="78">
        <v>0.33333333333333331</v>
      </c>
      <c r="T627" s="1" t="str">
        <f>IF(Start!$B$6="Ja","",IF(((S627-R627)*24)&gt;=5.5,"X",""))</f>
        <v/>
      </c>
      <c r="U627" s="1" t="str">
        <f>IF(_xlfn.IFNA(MATCH($A$15,Start!$H$3:$H$11,0),0)&gt;0,"Ferie",(IF(L627="fri","Fri",(IF(L627="syk","Syk",IF(L627="Ferie","Ferie",IF(AND((S627-R627)=0,AB627=""),"",MAX((IF(T627="X",(S627-R627)*24-0.5,(S627-R627)*24)),AB627))))))))</f>
        <v/>
      </c>
      <c r="V627" s="58"/>
      <c r="W627" s="21" t="str">
        <f t="shared" ref="W627:W633" si="726">IF(Q627=0,"",Q627)</f>
        <v/>
      </c>
      <c r="X627" s="21" t="str">
        <f t="shared" ref="X627:X633" si="727">IF(U627=0,"",U627)</f>
        <v/>
      </c>
      <c r="Z627" s="70" t="str">
        <f>IF(SUMIFS(TrackingTime!H:H,TrackingTime!F:F,Timer!B627,TrackingTime!C:C,"Hovedkontoret")&gt;0,SUMIFS(TrackingTime!H:H,TrackingTime!F:F,Timer!B627,TrackingTime!C:C,"Hovedkontoret"),"")</f>
        <v/>
      </c>
      <c r="AA627" s="71" t="str">
        <f t="shared" si="683"/>
        <v/>
      </c>
      <c r="AB627" t="str">
        <f>IF(SUMIFS(TrackingTime!H:H,TrackingTime!F:F,Timer!B627,TrackingTime!C:C,Start!$F$3)&gt;0,SUMIFS(TrackingTime!H:H,TrackingTime!F:F,Timer!B627,TrackingTime!C:C,Start!$F$3),"")</f>
        <v/>
      </c>
      <c r="AC627" s="71" t="str">
        <f t="shared" si="685"/>
        <v/>
      </c>
    </row>
    <row r="628" spans="1:29" x14ac:dyDescent="0.25">
      <c r="A628" s="15"/>
      <c r="B628" s="63">
        <f t="shared" ref="B628:B633" si="728">B627+DAY(1)</f>
        <v>46378</v>
      </c>
      <c r="C628" t="str">
        <f>IFERROR(IF(OR(L628="Fri",L628="Ferie",L628="Syk",L628="Omsorg",B628&lt;Start!$B$7),0,IF(IFERROR(MATCH(B628,Start!A$253:A$273,0),0)&gt;0,VLOOKUP(B628,Start!A$253:F$273,3,FALSE)/100*Start!$B$4,VLOOKUP(WEEKDAY(B628,2),Start!A$240:F$246,4,FALSE))),"")</f>
        <v/>
      </c>
      <c r="D628" t="str">
        <f>IFERROR(IF(OR(U628="Fri",U628="Ferie",U628="Syk",U628="Omsorg",B628&lt;Start!$F$7),0,IF(IFERROR(MATCH(B628,Start!A$253:A$273,0),0)&gt;0,VLOOKUP(B628,Start!A$253:F$273,3,FALSE)/100*Start!$F$4,VLOOKUP(WEEKDAY(B628,2),Start!A$240:F$246,6,FALSE))),"")</f>
        <v/>
      </c>
      <c r="E628">
        <f t="shared" ca="1" si="710"/>
        <v>0</v>
      </c>
      <c r="F628">
        <f>IFERROR(IF(YEAR(B628)=Start!$B$1,MONTH(B628),""),"")</f>
        <v>12</v>
      </c>
      <c r="G628" s="64" t="str">
        <f>IFERROR(VLOOKUP(B628,Start!A$111:B$273,2,FALSE),"")</f>
        <v/>
      </c>
      <c r="H628" s="21"/>
      <c r="I628" s="78">
        <v>0.33333333333333331</v>
      </c>
      <c r="J628" s="78">
        <v>0.33333333333333331</v>
      </c>
      <c r="K628" s="1" t="str">
        <f>IF(Start!$B$6="Ja","",IF(((J628-I628)*24)&gt;=5.5,"X",""))</f>
        <v/>
      </c>
      <c r="L628" s="1" t="str">
        <f>IF(_xlfn.IFNA(MATCH($A627,Start!$H$3:$H$11,0),0)&gt;0,"Ferie",IFERROR(IF(VLOOKUP($B628,Start!$A$165:$B$234,2,FALSE)&gt;0,"Fri",0),IF(AND((J628-I628)=0,Z628=""),"",MAX((IF(K628="X",(J628-I628)*24-0.5,(J628-I628)*24)),Z628))))</f>
        <v/>
      </c>
      <c r="M628" s="58"/>
      <c r="N628" s="21" t="str">
        <f t="shared" si="724"/>
        <v/>
      </c>
      <c r="O628" s="21" t="str">
        <f t="shared" si="725"/>
        <v/>
      </c>
      <c r="P628" s="2"/>
      <c r="Q628" s="21"/>
      <c r="R628" s="78">
        <v>0.33333333333333331</v>
      </c>
      <c r="S628" s="78">
        <v>0.33333333333333331</v>
      </c>
      <c r="T628" s="1" t="str">
        <f>IF(Start!$B$6="Ja","",IF(((S628-R628)*24)&gt;=5.5,"X",""))</f>
        <v/>
      </c>
      <c r="U628" s="1" t="str">
        <f>IF(_xlfn.IFNA(MATCH($A$15,Start!$H$3:$H$11,0),0)&gt;0,"Ferie",(IF(L628="fri","Fri",(IF(L628="syk","Syk",IF(L628="Ferie","Ferie",IF(AND((S628-R628)=0,AB628=""),"",MAX((IF(T628="X",(S628-R628)*24-0.5,(S628-R628)*24)),AB628))))))))</f>
        <v/>
      </c>
      <c r="V628" s="58"/>
      <c r="W628" s="21" t="str">
        <f t="shared" si="726"/>
        <v/>
      </c>
      <c r="X628" s="21" t="str">
        <f t="shared" si="727"/>
        <v/>
      </c>
      <c r="Z628" s="70" t="str">
        <f>IF(SUMIFS(TrackingTime!H:H,TrackingTime!F:F,Timer!B628,TrackingTime!C:C,"Hovedkontoret")&gt;0,SUMIFS(TrackingTime!H:H,TrackingTime!F:F,Timer!B628,TrackingTime!C:C,"Hovedkontoret"),"")</f>
        <v/>
      </c>
      <c r="AA628" s="71" t="str">
        <f t="shared" si="683"/>
        <v/>
      </c>
      <c r="AB628" t="str">
        <f>IF(SUMIFS(TrackingTime!H:H,TrackingTime!F:F,Timer!B628,TrackingTime!C:C,Start!$F$3)&gt;0,SUMIFS(TrackingTime!H:H,TrackingTime!F:F,Timer!B628,TrackingTime!C:C,Start!$F$3),"")</f>
        <v/>
      </c>
      <c r="AC628" s="71" t="str">
        <f t="shared" si="685"/>
        <v/>
      </c>
    </row>
    <row r="629" spans="1:29" x14ac:dyDescent="0.25">
      <c r="A629" s="15"/>
      <c r="B629" s="63">
        <f t="shared" si="728"/>
        <v>46379</v>
      </c>
      <c r="C629" t="str">
        <f>IFERROR(IF(OR(L629="Fri",L629="Ferie",L629="Syk",L629="Omsorg",B629&lt;Start!$B$7),0,IF(IFERROR(MATCH(B629,Start!A$253:A$273,0),0)&gt;0,VLOOKUP(B629,Start!A$253:F$273,3,FALSE)/100*Start!$B$4,VLOOKUP(WEEKDAY(B629,2),Start!A$240:F$246,4,FALSE))),"")</f>
        <v/>
      </c>
      <c r="D629" t="str">
        <f>IFERROR(IF(OR(U629="Fri",U629="Ferie",U629="Syk",U629="Omsorg",B629&lt;Start!$F$7),0,IF(IFERROR(MATCH(B629,Start!A$253:A$273,0),0)&gt;0,VLOOKUP(B629,Start!A$253:F$273,3,FALSE)/100*Start!$F$4,VLOOKUP(WEEKDAY(B629,2),Start!A$240:F$246,6,FALSE))),"")</f>
        <v/>
      </c>
      <c r="E629">
        <f t="shared" ca="1" si="710"/>
        <v>0</v>
      </c>
      <c r="F629">
        <f>IFERROR(IF(YEAR(B629)=Start!$B$1,MONTH(B629),""),"")</f>
        <v>12</v>
      </c>
      <c r="G629" s="64" t="str">
        <f>IFERROR(VLOOKUP(B629,Start!A$111:B$273,2,FALSE),"")</f>
        <v/>
      </c>
      <c r="H629" s="21"/>
      <c r="I629" s="78">
        <v>0.33333333333333331</v>
      </c>
      <c r="J629" s="78">
        <v>0.33333333333333331</v>
      </c>
      <c r="K629" s="1" t="str">
        <f>IF(Start!$B$6="Ja","",IF(((J629-I629)*24)&gt;=5.5,"X",""))</f>
        <v/>
      </c>
      <c r="L629" s="1" t="str">
        <f>IF(_xlfn.IFNA(MATCH($A627,Start!$H$3:$H$11,0),0)&gt;0,"Ferie",IFERROR(IF(VLOOKUP(B629,Start!A$165:B$234,2,FALSE)&gt;0,"Fri",0),IF(AND((J629-I629)=0,Z629=""),"",MAX((IF(K629="X",(J629-I629)*24-0.5,(J629-I629)*24)),Z629))))</f>
        <v/>
      </c>
      <c r="M629" s="58"/>
      <c r="N629" s="21" t="str">
        <f t="shared" si="724"/>
        <v/>
      </c>
      <c r="O629" s="21" t="str">
        <f t="shared" si="725"/>
        <v/>
      </c>
      <c r="P629" s="2"/>
      <c r="Q629" s="21"/>
      <c r="R629" s="78">
        <v>0.33333333333333331</v>
      </c>
      <c r="S629" s="78">
        <v>0.33333333333333331</v>
      </c>
      <c r="T629" s="1" t="str">
        <f>IF(Start!$B$6="Ja","",IF(((S629-R629)*24)&gt;=5.5,"X",""))</f>
        <v/>
      </c>
      <c r="U629" s="1" t="str">
        <f>IF(_xlfn.IFNA(MATCH($A$15,Start!$H$3:$H$11,0),0)&gt;0,"Ferie",(IF(L629="fri","Fri",(IF(L629="syk","Syk",IF(L629="Ferie","Ferie",IF(AND((S629-R629)=0,AB629=""),"",MAX((IF(T629="X",(S629-R629)*24-0.5,(S629-R629)*24)),AB629))))))))</f>
        <v/>
      </c>
      <c r="V629" s="58"/>
      <c r="W629" s="21" t="str">
        <f t="shared" si="726"/>
        <v/>
      </c>
      <c r="X629" s="21" t="str">
        <f t="shared" si="727"/>
        <v/>
      </c>
      <c r="Z629" s="70" t="str">
        <f>IF(SUMIFS(TrackingTime!H:H,TrackingTime!F:F,Timer!B629,TrackingTime!C:C,"Hovedkontoret")&gt;0,SUMIFS(TrackingTime!H:H,TrackingTime!F:F,Timer!B629,TrackingTime!C:C,"Hovedkontoret"),"")</f>
        <v/>
      </c>
      <c r="AA629" s="71" t="str">
        <f t="shared" si="683"/>
        <v/>
      </c>
      <c r="AB629" t="str">
        <f>IF(SUMIFS(TrackingTime!H:H,TrackingTime!F:F,Timer!B629,TrackingTime!C:C,Start!$F$3)&gt;0,SUMIFS(TrackingTime!H:H,TrackingTime!F:F,Timer!B629,TrackingTime!C:C,Start!$F$3),"")</f>
        <v/>
      </c>
      <c r="AC629" s="71" t="str">
        <f t="shared" si="685"/>
        <v/>
      </c>
    </row>
    <row r="630" spans="1:29" x14ac:dyDescent="0.25">
      <c r="A630" s="15"/>
      <c r="B630" s="63">
        <f t="shared" si="728"/>
        <v>46380</v>
      </c>
      <c r="C630">
        <f>IFERROR(IF(OR(L630="Fri",L630="Ferie",L630="Syk",L630="Omsorg",B630&lt;Start!$B$7),0,IF(IFERROR(MATCH(B630,Start!A$253:A$273,0),0)&gt;0,VLOOKUP(B630,Start!A$253:F$273,3,FALSE)/100*Start!$B$4,VLOOKUP(WEEKDAY(B630,2),Start!A$240:F$246,4,FALSE))),"")</f>
        <v>0</v>
      </c>
      <c r="D630">
        <f>IFERROR(IF(OR(U630="Fri",U630="Ferie",U630="Syk",U630="Omsorg",B630&lt;Start!$F$7),0,IF(IFERROR(MATCH(B630,Start!A$253:A$273,0),0)&gt;0,VLOOKUP(B630,Start!A$253:F$273,3,FALSE)/100*Start!$F$4,VLOOKUP(WEEKDAY(B630,2),Start!A$240:F$246,6,FALSE))),"")</f>
        <v>0</v>
      </c>
      <c r="E630">
        <f t="shared" ca="1" si="710"/>
        <v>0</v>
      </c>
      <c r="F630">
        <f>IFERROR(IF(YEAR(B630)=Start!$B$1,MONTH(B630),""),"")</f>
        <v>12</v>
      </c>
      <c r="G630" s="64" t="str">
        <f>IFERROR(VLOOKUP(B630,Start!A$111:B$273,2,FALSE),"")</f>
        <v>Julaften</v>
      </c>
      <c r="H630" s="21"/>
      <c r="I630" s="78">
        <v>0.33333333333333331</v>
      </c>
      <c r="J630" s="78">
        <v>0.33333333333333331</v>
      </c>
      <c r="K630" s="1" t="str">
        <f>IF(Start!$B$6="Ja","",IF(((J630-I630)*24)&gt;=5.5,"X",""))</f>
        <v/>
      </c>
      <c r="L630" s="1" t="str">
        <f>IF(_xlfn.IFNA(MATCH($A627,Start!$H$3:$H$11,0),0)&gt;0,"Ferie",IFERROR(IF(VLOOKUP(B630,Start!A$165:B$234,2,FALSE)&gt;0,"Fri",0),IF(AND((J630-I630)=0,Z630=""),"",MAX((IF(K630="X",(J630-I630)*24-0.5,(J630-I630)*24)),Z630))))</f>
        <v/>
      </c>
      <c r="M630" s="58"/>
      <c r="N630" s="21" t="str">
        <f t="shared" si="724"/>
        <v/>
      </c>
      <c r="O630" s="21" t="str">
        <f t="shared" si="725"/>
        <v/>
      </c>
      <c r="P630" s="2"/>
      <c r="Q630" s="21"/>
      <c r="R630" s="78">
        <v>0.33333333333333331</v>
      </c>
      <c r="S630" s="78">
        <v>0.33333333333333331</v>
      </c>
      <c r="T630" s="1" t="str">
        <f>IF(Start!$B$6="Ja","",IF(((S630-R630)*24)&gt;=5.5,"X",""))</f>
        <v/>
      </c>
      <c r="U630" s="1" t="str">
        <f>IF(_xlfn.IFNA(MATCH($A$15,Start!$H$3:$H$11,0),0)&gt;0,"Ferie",(IF(L630="fri","Fri",(IF(L630="syk","Syk",IF(L630="Ferie","Ferie",IF(AND((S630-R630)=0,AB630=""),"",MAX((IF(T630="X",(S630-R630)*24-0.5,(S630-R630)*24)),AB630))))))))</f>
        <v/>
      </c>
      <c r="V630" s="58"/>
      <c r="W630" s="21" t="str">
        <f t="shared" si="726"/>
        <v/>
      </c>
      <c r="X630" s="21" t="str">
        <f t="shared" si="727"/>
        <v/>
      </c>
      <c r="Z630" s="70" t="str">
        <f>IF(SUMIFS(TrackingTime!H:H,TrackingTime!F:F,Timer!B630,TrackingTime!C:C,"Hovedkontoret")&gt;0,SUMIFS(TrackingTime!H:H,TrackingTime!F:F,Timer!B630,TrackingTime!C:C,"Hovedkontoret"),"")</f>
        <v/>
      </c>
      <c r="AA630" s="71" t="str">
        <f t="shared" si="683"/>
        <v/>
      </c>
      <c r="AB630" t="str">
        <f>IF(SUMIFS(TrackingTime!H:H,TrackingTime!F:F,Timer!B630,TrackingTime!C:C,Start!$F$3)&gt;0,SUMIFS(TrackingTime!H:H,TrackingTime!F:F,Timer!B630,TrackingTime!C:C,Start!$F$3),"")</f>
        <v/>
      </c>
      <c r="AC630" s="71" t="str">
        <f t="shared" si="685"/>
        <v/>
      </c>
    </row>
    <row r="631" spans="1:29" x14ac:dyDescent="0.25">
      <c r="A631" s="15"/>
      <c r="B631" s="63">
        <f t="shared" si="728"/>
        <v>46381</v>
      </c>
      <c r="C631">
        <f>IFERROR(IF(OR(L631="Fri",L631="Ferie",L631="Syk",L631="Omsorg",B631&lt;Start!$B$7),0,IF(IFERROR(MATCH(B631,Start!A$253:A$273,0),0)&gt;0,VLOOKUP(B631,Start!A$253:F$273,3,FALSE)/100*Start!$B$4,VLOOKUP(WEEKDAY(B631,2),Start!A$240:F$246,4,FALSE))),"")</f>
        <v>0</v>
      </c>
      <c r="D631">
        <f>IFERROR(IF(OR(U631="Fri",U631="Ferie",U631="Syk",U631="Omsorg",B631&lt;Start!$F$7),0,IF(IFERROR(MATCH(B631,Start!A$253:A$273,0),0)&gt;0,VLOOKUP(B631,Start!A$253:F$273,3,FALSE)/100*Start!$F$4,VLOOKUP(WEEKDAY(B631,2),Start!A$240:F$246,6,FALSE))),"")</f>
        <v>0</v>
      </c>
      <c r="E631">
        <f t="shared" ca="1" si="710"/>
        <v>0</v>
      </c>
      <c r="F631">
        <f>IFERROR(IF(YEAR(B631)=Start!$B$1,MONTH(B631),""),"")</f>
        <v>12</v>
      </c>
      <c r="G631" s="64" t="str">
        <f>IFERROR(VLOOKUP(B631,Start!A$111:B$273,2,FALSE),"")</f>
        <v>1. juledag</v>
      </c>
      <c r="H631" s="21"/>
      <c r="I631" s="78">
        <v>0.33333333333333331</v>
      </c>
      <c r="J631" s="78">
        <v>0.33333333333333331</v>
      </c>
      <c r="K631" s="1" t="str">
        <f>IF(Start!$B$6="Ja","",IF(((J631-I631)*24)&gt;=5.5,"X",""))</f>
        <v/>
      </c>
      <c r="L631" s="1" t="str">
        <f>IF(_xlfn.IFNA(MATCH($A627,Start!$H$3:$H$11,0),0)&gt;0,"Ferie",IFERROR(IF(VLOOKUP(B631,Start!A$165:B$234,2,FALSE)&gt;0,"Fri",0),IF(AND((J631-I631)=0,Z631=""),"",MAX((IF(K631="X",(J631-I631)*24-0.5,(J631-I631)*24)),Z631))))</f>
        <v>Fri</v>
      </c>
      <c r="M631" s="58"/>
      <c r="N631" s="21" t="str">
        <f t="shared" si="724"/>
        <v/>
      </c>
      <c r="O631" s="21" t="str">
        <f t="shared" si="725"/>
        <v>Fri</v>
      </c>
      <c r="P631" s="2"/>
      <c r="Q631" s="21"/>
      <c r="R631" s="78">
        <v>0.33333333333333331</v>
      </c>
      <c r="S631" s="78">
        <v>0.33333333333333331</v>
      </c>
      <c r="T631" s="1" t="str">
        <f>IF(Start!$B$6="Ja","",IF(((S631-R631)*24)&gt;=5.5,"X",""))</f>
        <v/>
      </c>
      <c r="U631" s="1" t="str">
        <f>IF(_xlfn.IFNA(MATCH($A$15,Start!$H$3:$H$11,0),0)&gt;0,"Ferie",(IF(L631="fri","Fri",(IF(L631="syk","Syk",IF(L631="Ferie","Ferie",IF(AND((S631-R631)=0,AB631=""),"",MAX((IF(T631="X",(S631-R631)*24-0.5,(S631-R631)*24)),AB631))))))))</f>
        <v>Fri</v>
      </c>
      <c r="V631" s="58"/>
      <c r="W631" s="21" t="str">
        <f t="shared" si="726"/>
        <v/>
      </c>
      <c r="X631" s="21" t="str">
        <f t="shared" si="727"/>
        <v>Fri</v>
      </c>
      <c r="Z631" s="70" t="str">
        <f>IF(SUMIFS(TrackingTime!H:H,TrackingTime!F:F,Timer!B631,TrackingTime!C:C,"Hovedkontoret")&gt;0,SUMIFS(TrackingTime!H:H,TrackingTime!F:F,Timer!B631,TrackingTime!C:C,"Hovedkontoret"),"")</f>
        <v/>
      </c>
      <c r="AA631" s="71" t="str">
        <f t="shared" si="683"/>
        <v/>
      </c>
      <c r="AB631" t="str">
        <f>IF(SUMIFS(TrackingTime!H:H,TrackingTime!F:F,Timer!B631,TrackingTime!C:C,Start!$F$3)&gt;0,SUMIFS(TrackingTime!H:H,TrackingTime!F:F,Timer!B631,TrackingTime!C:C,Start!$F$3),"")</f>
        <v/>
      </c>
      <c r="AC631" s="71" t="str">
        <f t="shared" si="685"/>
        <v/>
      </c>
    </row>
    <row r="632" spans="1:29" x14ac:dyDescent="0.25">
      <c r="A632" s="15"/>
      <c r="B632" s="63">
        <f t="shared" si="728"/>
        <v>46382</v>
      </c>
      <c r="C632">
        <f>IFERROR(IF(OR(L632="Fri",L632="Ferie",L632="Syk",L632="Omsorg",B632&lt;Start!$B$7),0,IF(IFERROR(MATCH(B632,Start!A$253:A$273,0),0)&gt;0,VLOOKUP(B632,Start!A$253:F$273,3,FALSE)/100*Start!$B$4,VLOOKUP(WEEKDAY(B632,2),Start!A$240:F$246,4,FALSE))),"")</f>
        <v>0</v>
      </c>
      <c r="D632">
        <f>IFERROR(IF(OR(U632="Fri",U632="Ferie",U632="Syk",U632="Omsorg",B632&lt;Start!$F$7),0,IF(IFERROR(MATCH(B632,Start!A$253:A$273,0),0)&gt;0,VLOOKUP(B632,Start!A$253:F$273,3,FALSE)/100*Start!$F$4,VLOOKUP(WEEKDAY(B632,2),Start!A$240:F$246,6,FALSE))),"")</f>
        <v>0</v>
      </c>
      <c r="E632">
        <f t="shared" ca="1" si="710"/>
        <v>0</v>
      </c>
      <c r="F632">
        <f>IFERROR(IF(YEAR(B632)=Start!$B$1,MONTH(B632),""),"")</f>
        <v>12</v>
      </c>
      <c r="G632" s="64" t="str">
        <f>IFERROR(VLOOKUP(B632,Start!A$111:B$273,2,FALSE),"")</f>
        <v>2. juledag</v>
      </c>
      <c r="H632" s="21"/>
      <c r="I632" s="78">
        <v>0.41666666666666669</v>
      </c>
      <c r="J632" s="78">
        <v>0.41666666666666669</v>
      </c>
      <c r="K632" s="1" t="str">
        <f>IF(Start!$B$6="Ja","",IF(((J632-I632)*24)&gt;=5.5,"X",""))</f>
        <v/>
      </c>
      <c r="L632" s="1" t="str">
        <f t="shared" ref="L632:L633" si="729">IF(AND((J632-I632)=0,Z632=""),"",MAX((IF(K632="X",(J632-I632)*24-0.5,(J632-I632)*24)),Z632))</f>
        <v/>
      </c>
      <c r="M632" s="58"/>
      <c r="N632" s="21" t="str">
        <f t="shared" si="724"/>
        <v/>
      </c>
      <c r="O632" s="21" t="str">
        <f t="shared" si="725"/>
        <v/>
      </c>
      <c r="P632" s="2"/>
      <c r="Q632" s="21"/>
      <c r="R632" s="78">
        <v>0.41666666666666669</v>
      </c>
      <c r="S632" s="78">
        <v>0.41666666666666669</v>
      </c>
      <c r="T632" s="1" t="str">
        <f>IF(Start!$B$6="Ja","",IF(((S632-R632)*24)&gt;=5.5,"X",""))</f>
        <v/>
      </c>
      <c r="U632" s="1" t="str">
        <f t="shared" ref="U632:U633" si="730">IF(AND((S632-R632)=0,AB632=""),"",MAX((IF(T632="X",(S632-R632)*24-0.5,(S632-R632)*24)),AB632))</f>
        <v/>
      </c>
      <c r="V632" s="58"/>
      <c r="W632" s="21" t="str">
        <f t="shared" si="726"/>
        <v/>
      </c>
      <c r="X632" s="21" t="str">
        <f t="shared" si="727"/>
        <v/>
      </c>
      <c r="Z632" s="70" t="str">
        <f>IF(SUMIFS(TrackingTime!H:H,TrackingTime!F:F,Timer!B632,TrackingTime!C:C,"Hovedkontoret")&gt;0,SUMIFS(TrackingTime!H:H,TrackingTime!F:F,Timer!B632,TrackingTime!C:C,"Hovedkontoret"),"")</f>
        <v/>
      </c>
      <c r="AA632" s="71" t="str">
        <f t="shared" si="683"/>
        <v/>
      </c>
      <c r="AB632" t="str">
        <f>IF(SUMIFS(TrackingTime!H:H,TrackingTime!F:F,Timer!B632,TrackingTime!C:C,Start!$F$3)&gt;0,SUMIFS(TrackingTime!H:H,TrackingTime!F:F,Timer!B632,TrackingTime!C:C,Start!$F$3),"")</f>
        <v/>
      </c>
      <c r="AC632" s="71" t="str">
        <f t="shared" si="685"/>
        <v/>
      </c>
    </row>
    <row r="633" spans="1:29" x14ac:dyDescent="0.25">
      <c r="A633" s="15"/>
      <c r="B633" s="63">
        <f t="shared" si="728"/>
        <v>46383</v>
      </c>
      <c r="C633">
        <f>IFERROR(IF(OR(L633="Fri",L633="Ferie",L633="Syk",L633="Omsorg",B633&lt;Start!$B$7),0,IF(IFERROR(MATCH(B633,Start!A$253:A$273,0),0)&gt;0,VLOOKUP(B633,Start!A$253:F$273,3,FALSE)/100*Start!$B$4,VLOOKUP(WEEKDAY(B633,2),Start!A$240:F$246,4,FALSE))),"")</f>
        <v>0</v>
      </c>
      <c r="D633">
        <f>IFERROR(IF(OR(U633="Fri",U633="Ferie",U633="Syk",U633="Omsorg",B633&lt;Start!$F$7),0,IF(IFERROR(MATCH(B633,Start!A$253:A$273,0),0)&gt;0,VLOOKUP(B633,Start!A$253:F$273,3,FALSE)/100*Start!$F$4,VLOOKUP(WEEKDAY(B633,2),Start!A$240:F$246,6,FALSE))),"")</f>
        <v>0</v>
      </c>
      <c r="E633">
        <f t="shared" ca="1" si="710"/>
        <v>0</v>
      </c>
      <c r="F633">
        <f>IFERROR(IF(YEAR(B633)=Start!$B$1,MONTH(B633),""),"")</f>
        <v>12</v>
      </c>
      <c r="G633" s="64" t="str">
        <f>IFERROR(VLOOKUP(B633,Start!A$111:B$273,2,FALSE),"")</f>
        <v/>
      </c>
      <c r="H633" s="25"/>
      <c r="I633" s="78">
        <v>0.41666666666666669</v>
      </c>
      <c r="J633" s="78">
        <v>0.41666666666666669</v>
      </c>
      <c r="K633" s="1" t="str">
        <f>IF(Start!$B$6="Ja","",IF(((J633-I633)*24)&gt;=5.5,"X",""))</f>
        <v/>
      </c>
      <c r="L633" s="1" t="str">
        <f t="shared" si="729"/>
        <v/>
      </c>
      <c r="M633" s="58"/>
      <c r="N633" s="21" t="str">
        <f t="shared" si="724"/>
        <v/>
      </c>
      <c r="O633" s="21" t="str">
        <f t="shared" si="725"/>
        <v/>
      </c>
      <c r="Q633" s="25"/>
      <c r="R633" s="78">
        <v>0.41666666666666669</v>
      </c>
      <c r="S633" s="78">
        <v>0.41666666666666669</v>
      </c>
      <c r="T633" s="1" t="str">
        <f>IF(Start!$B$6="Ja","",IF(((S633-R633)*24)&gt;=5.5,"X",""))</f>
        <v/>
      </c>
      <c r="U633" s="1" t="str">
        <f t="shared" si="730"/>
        <v/>
      </c>
      <c r="V633" s="58"/>
      <c r="W633" s="21" t="str">
        <f t="shared" si="726"/>
        <v/>
      </c>
      <c r="X633" s="21" t="str">
        <f t="shared" si="727"/>
        <v/>
      </c>
      <c r="Z633" s="70" t="str">
        <f>IF(SUMIFS(TrackingTime!H:H,TrackingTime!F:F,Timer!B633,TrackingTime!C:C,"Hovedkontoret")&gt;0,SUMIFS(TrackingTime!H:H,TrackingTime!F:F,Timer!B633,TrackingTime!C:C,"Hovedkontoret"),"")</f>
        <v/>
      </c>
      <c r="AA633" s="71" t="str">
        <f t="shared" si="683"/>
        <v/>
      </c>
      <c r="AB633" t="str">
        <f>IF(SUMIFS(TrackingTime!H:H,TrackingTime!F:F,Timer!B633,TrackingTime!C:C,Start!$F$3)&gt;0,SUMIFS(TrackingTime!H:H,TrackingTime!F:F,Timer!B633,TrackingTime!C:C,Start!$F$3),"")</f>
        <v/>
      </c>
      <c r="AC633" s="71" t="str">
        <f t="shared" si="685"/>
        <v/>
      </c>
    </row>
    <row r="634" spans="1:29" x14ac:dyDescent="0.25">
      <c r="A634" s="15"/>
      <c r="B634" s="4" t="s">
        <v>11</v>
      </c>
      <c r="C634" s="24"/>
      <c r="D634" s="24"/>
      <c r="E634" s="24">
        <f t="shared" ca="1" si="710"/>
        <v>0</v>
      </c>
      <c r="F634" s="24" t="str">
        <f>IFERROR(IF(YEAR(B634)=Start!$B$1,MONTH(B634),""),"")</f>
        <v/>
      </c>
      <c r="G634" s="64" t="str">
        <f>IFERROR(VLOOKUP(B634,Start!A$111:B$273,2,FALSE),"")</f>
        <v/>
      </c>
      <c r="H634" s="4"/>
      <c r="I634" s="4"/>
      <c r="J634" s="4"/>
      <c r="K634" s="4"/>
      <c r="L634" s="5">
        <f t="shared" si="688"/>
        <v>0</v>
      </c>
      <c r="N634" s="24"/>
      <c r="O634" s="39">
        <f t="shared" ref="O634" si="731">SUM(O627:O633)</f>
        <v>0</v>
      </c>
      <c r="P634" s="40"/>
      <c r="Q634" s="41"/>
      <c r="R634" s="4"/>
      <c r="S634" s="4"/>
      <c r="T634" s="4"/>
      <c r="U634" s="5">
        <f t="shared" ref="U634" si="732">SUM($U627:$U633)</f>
        <v>0</v>
      </c>
      <c r="V634" s="58"/>
      <c r="W634" s="39"/>
      <c r="X634" s="39">
        <f t="shared" si="674"/>
        <v>0</v>
      </c>
      <c r="Z634" s="70" t="str">
        <f>IF(SUMIFS(TrackingTime!H:H,TrackingTime!F:F,Timer!B634,TrackingTime!C:C,"Hovedkontoret")&gt;0,SUMIFS(TrackingTime!H:H,TrackingTime!F:F,Timer!B634,TrackingTime!C:C,"Hovedkontoret"),"")</f>
        <v/>
      </c>
      <c r="AA634" s="71" t="str">
        <f t="shared" si="683"/>
        <v/>
      </c>
      <c r="AB634" t="str">
        <f>IF(SUMIFS(TrackingTime!H:H,TrackingTime!F:F,Timer!B634,TrackingTime!C:C,Start!$F$3)&gt;0,SUMIFS(TrackingTime!H:H,TrackingTime!F:F,Timer!B634,TrackingTime!C:C,Start!$F$3),"")</f>
        <v/>
      </c>
      <c r="AC634" s="71" t="str">
        <f t="shared" si="685"/>
        <v/>
      </c>
    </row>
    <row r="635" spans="1:29" x14ac:dyDescent="0.25">
      <c r="A635" s="15"/>
      <c r="B635" t="s">
        <v>90</v>
      </c>
      <c r="E635">
        <f t="shared" ca="1" si="710"/>
        <v>0</v>
      </c>
      <c r="F635" t="str">
        <f>IFERROR(IF(YEAR(B635)=Start!$B$1,MONTH(B635),""),"")</f>
        <v/>
      </c>
      <c r="G635" s="64" t="str">
        <f>IFERROR(VLOOKUP(B635,Start!A$111:B$273,2,FALSE),"")</f>
        <v/>
      </c>
      <c r="L635" s="1">
        <f t="shared" si="691"/>
        <v>0</v>
      </c>
      <c r="M635" s="1"/>
      <c r="N635" s="1"/>
      <c r="O635" s="21">
        <f t="shared" ref="O635" si="733">L635</f>
        <v>0</v>
      </c>
      <c r="P635" s="40"/>
      <c r="Q635" s="21"/>
      <c r="U635" s="1">
        <f t="shared" ref="U635" si="734">SUMIFS(D627:D633,F627:F633,"&gt;0")</f>
        <v>0</v>
      </c>
      <c r="V635" s="1"/>
      <c r="W635" s="1"/>
      <c r="X635" s="21">
        <f>U635</f>
        <v>0</v>
      </c>
      <c r="Z635" s="70" t="str">
        <f>IF(SUMIFS(TrackingTime!H:H,TrackingTime!F:F,Timer!B635,TrackingTime!C:C,"Hovedkontoret")&gt;0,SUMIFS(TrackingTime!H:H,TrackingTime!F:F,Timer!B635,TrackingTime!C:C,"Hovedkontoret"),"")</f>
        <v/>
      </c>
      <c r="AA635" s="71" t="str">
        <f t="shared" si="683"/>
        <v/>
      </c>
      <c r="AB635" t="str">
        <f>IF(SUMIFS(TrackingTime!H:H,TrackingTime!F:F,Timer!B635,TrackingTime!C:C,Start!$F$3)&gt;0,SUMIFS(TrackingTime!H:H,TrackingTime!F:F,Timer!B635,TrackingTime!C:C,Start!$F$3),"")</f>
        <v/>
      </c>
      <c r="AC635" s="71" t="str">
        <f t="shared" si="685"/>
        <v/>
      </c>
    </row>
    <row r="636" spans="1:29" x14ac:dyDescent="0.25">
      <c r="A636" s="16">
        <f>B633-B627-1</f>
        <v>5</v>
      </c>
      <c r="B636" t="s">
        <v>117</v>
      </c>
      <c r="E636">
        <f t="shared" ca="1" si="710"/>
        <v>0</v>
      </c>
      <c r="F636" t="str">
        <f>IFERROR(IF(YEAR(B636)=Start!$B$1,MONTH(B636),""),"")</f>
        <v/>
      </c>
      <c r="G636" s="64" t="str">
        <f>IFERROR(VLOOKUP(B636,Start!A$111:B$273,2,FALSE),"")</f>
        <v/>
      </c>
      <c r="L636" s="77">
        <f t="shared" ca="1" si="694"/>
        <v>0</v>
      </c>
      <c r="O636" s="21">
        <f t="shared" ref="O636" si="735">O634-O635</f>
        <v>0</v>
      </c>
      <c r="P636" s="21"/>
      <c r="Q636" s="21"/>
      <c r="U636" s="1">
        <f t="shared" ref="U636" ca="1" si="736">U634-U635*(IF(NETWORKDAYS($B627,TODAY())&lt;0,0,IF(NETWORKDAYS($B627,TODAY())&lt;=$A636,NETWORKDAYS($B627,TODAY()),$A636)))/$A636</f>
        <v>0</v>
      </c>
      <c r="V636" s="58"/>
      <c r="W636" s="21"/>
      <c r="X636" s="21">
        <f>X634-X635</f>
        <v>0</v>
      </c>
      <c r="Z636" s="70" t="str">
        <f>IF(SUMIFS(TrackingTime!H:H,TrackingTime!F:F,Timer!B636,TrackingTime!C:C,"Hovedkontoret")&gt;0,SUMIFS(TrackingTime!H:H,TrackingTime!F:F,Timer!B636,TrackingTime!C:C,"Hovedkontoret"),"")</f>
        <v/>
      </c>
      <c r="AA636" s="71" t="str">
        <f t="shared" si="683"/>
        <v/>
      </c>
      <c r="AB636" t="str">
        <f>IF(SUMIFS(TrackingTime!H:H,TrackingTime!F:F,Timer!B636,TrackingTime!C:C,Start!$F$3)&gt;0,SUMIFS(TrackingTime!H:H,TrackingTime!F:F,Timer!B636,TrackingTime!C:C,Start!$F$3),"")</f>
        <v/>
      </c>
      <c r="AC636" s="71" t="str">
        <f t="shared" si="685"/>
        <v/>
      </c>
    </row>
    <row r="637" spans="1:29" x14ac:dyDescent="0.25">
      <c r="A637" s="15"/>
      <c r="E637">
        <f t="shared" ca="1" si="710"/>
        <v>1</v>
      </c>
      <c r="F637" t="str">
        <f>IFERROR(IF(YEAR(B637)=Start!$B$1,MONTH(B637),""),"")</f>
        <v/>
      </c>
      <c r="G637" s="64" t="str">
        <f>IFERROR(VLOOKUP(B637,Start!A$111:B$273,2,FALSE),"")</f>
        <v/>
      </c>
      <c r="O637" s="2"/>
      <c r="P637" s="2"/>
      <c r="U637" s="1"/>
      <c r="V637" s="7"/>
      <c r="X637" s="2"/>
      <c r="Z637" s="70" t="str">
        <f>IF(SUMIFS(TrackingTime!H:H,TrackingTime!F:F,Timer!B637,TrackingTime!C:C,"Hovedkontoret")&gt;0,SUMIFS(TrackingTime!H:H,TrackingTime!F:F,Timer!B637,TrackingTime!C:C,"Hovedkontoret"),"")</f>
        <v/>
      </c>
      <c r="AA637" s="71" t="str">
        <f t="shared" si="683"/>
        <v/>
      </c>
      <c r="AB637" t="str">
        <f>IF(SUMIFS(TrackingTime!H:H,TrackingTime!F:F,Timer!B637,TrackingTime!C:C,Start!$F$3)&gt;0,SUMIFS(TrackingTime!H:H,TrackingTime!F:F,Timer!B637,TrackingTime!C:C,Start!$F$3),"")</f>
        <v/>
      </c>
      <c r="AC637" s="71" t="str">
        <f t="shared" si="685"/>
        <v/>
      </c>
    </row>
    <row r="638" spans="1:29" x14ac:dyDescent="0.25">
      <c r="A638" s="2" t="s">
        <v>82</v>
      </c>
      <c r="B638" s="14" t="s">
        <v>83</v>
      </c>
      <c r="E638">
        <f t="shared" ca="1" si="710"/>
        <v>0</v>
      </c>
      <c r="F638" t="str">
        <f>IFERROR(IF(YEAR(B638)=Start!$B$1,MONTH(B638),""),"")</f>
        <v/>
      </c>
      <c r="G638" s="64" t="str">
        <f>IFERROR(VLOOKUP(B638,Start!A$111:B$273,2,FALSE),"")</f>
        <v/>
      </c>
      <c r="H638" s="2" t="s">
        <v>86</v>
      </c>
      <c r="I638" s="2" t="s">
        <v>125</v>
      </c>
      <c r="J638" s="2" t="s">
        <v>126</v>
      </c>
      <c r="K638" s="2" t="s">
        <v>127</v>
      </c>
      <c r="L638" s="3" t="s">
        <v>87</v>
      </c>
      <c r="M638" s="6"/>
      <c r="N638" s="2" t="s">
        <v>88</v>
      </c>
      <c r="O638" s="2" t="s">
        <v>89</v>
      </c>
      <c r="P638" s="2"/>
      <c r="Q638" s="2" t="s">
        <v>86</v>
      </c>
      <c r="R638" s="2" t="s">
        <v>125</v>
      </c>
      <c r="S638" s="2" t="s">
        <v>126</v>
      </c>
      <c r="T638" s="2" t="s">
        <v>127</v>
      </c>
      <c r="U638" s="3" t="s">
        <v>87</v>
      </c>
      <c r="V638" s="6"/>
      <c r="W638" s="2" t="s">
        <v>88</v>
      </c>
      <c r="X638" s="2" t="s">
        <v>89</v>
      </c>
      <c r="Z638" s="70" t="str">
        <f>IF(SUMIFS(TrackingTime!H:H,TrackingTime!F:F,Timer!B638,TrackingTime!C:C,"Hovedkontoret")&gt;0,SUMIFS(TrackingTime!H:H,TrackingTime!F:F,Timer!B638,TrackingTime!C:C,"Hovedkontoret"),"")</f>
        <v/>
      </c>
      <c r="AA638" s="71" t="str">
        <f t="shared" si="683"/>
        <v/>
      </c>
      <c r="AB638" t="str">
        <f>IF(SUMIFS(TrackingTime!H:H,TrackingTime!F:F,Timer!B638,TrackingTime!C:C,Start!$F$3)&gt;0,SUMIFS(TrackingTime!H:H,TrackingTime!F:F,Timer!B638,TrackingTime!C:C,Start!$F$3),"")</f>
        <v/>
      </c>
      <c r="AC638" s="71" t="str">
        <f t="shared" si="685"/>
        <v/>
      </c>
    </row>
    <row r="639" spans="1:29" x14ac:dyDescent="0.25">
      <c r="A639" s="15">
        <f>WEEKNUM(B639,21)</f>
        <v>53</v>
      </c>
      <c r="B639" s="63">
        <f>B633+(DAY(1))</f>
        <v>46384</v>
      </c>
      <c r="C639" t="str">
        <f>IFERROR(IF(OR(L639="Fri",L639="Ferie",L639="Syk",L639="Omsorg",B639&lt;Start!$B$7),0,IF(IFERROR(MATCH(B639,Start!A$253:A$273,0),0)&gt;0,VLOOKUP(B639,Start!A$253:F$273,3,FALSE)/100*Start!$B$4,VLOOKUP(WEEKDAY(B639,2),Start!A$240:F$246,4,FALSE))),"")</f>
        <v/>
      </c>
      <c r="D639" t="str">
        <f>IFERROR(IF(OR(U639="Fri",U639="Ferie",U639="Syk",U639="Omsorg",B639&lt;Start!$F$7),0,IF(IFERROR(MATCH(B639,Start!A$253:A$273,0),0)&gt;0,VLOOKUP(B639,Start!A$253:F$273,3,FALSE)/100*Start!$F$4,VLOOKUP(WEEKDAY(B639,2),Start!A$240:F$246,6,FALSE))),"")</f>
        <v/>
      </c>
      <c r="E639">
        <f t="shared" ca="1" si="710"/>
        <v>0</v>
      </c>
      <c r="F639">
        <f>IFERROR(IF(YEAR(B639)=Start!$B$1,MONTH(B639),""),"")</f>
        <v>12</v>
      </c>
      <c r="G639" s="64" t="str">
        <f>IFERROR(VLOOKUP(B639,Start!A$111:B$273,2,FALSE),"")</f>
        <v/>
      </c>
      <c r="H639" s="21"/>
      <c r="I639" s="78">
        <v>0.33333333333333331</v>
      </c>
      <c r="J639" s="78">
        <v>0.33333333333333331</v>
      </c>
      <c r="K639" s="1" t="str">
        <f>IF(Start!$B$6="Ja","",IF(((J639-I639)*24)&gt;=5.5,"X",""))</f>
        <v/>
      </c>
      <c r="L639" s="1" t="str">
        <f>IF(_xlfn.IFNA(MATCH($A639,Start!$H$3:$H$11,0),0)&gt;0,"Ferie",IFERROR(IF(VLOOKUP(B639,Start!A$165:B$234,2,FALSE)&gt;0,"Fri",0),IF(AND((J639-I639)=0,Z639=""),"",MAX((IF(K639="X",(J639-I639)*24-0.5,(J639-I639)*24)),Z639))))</f>
        <v/>
      </c>
      <c r="M639" s="58"/>
      <c r="N639" s="21" t="str">
        <f t="shared" ref="N639:N645" si="737">IF(H639=0,"",H639)</f>
        <v/>
      </c>
      <c r="O639" s="21" t="str">
        <f t="shared" ref="O639:O645" si="738">IF(L639=0,"",L639)</f>
        <v/>
      </c>
      <c r="P639" s="2"/>
      <c r="Q639" s="21"/>
      <c r="R639" s="78">
        <v>0.33333333333333331</v>
      </c>
      <c r="S639" s="78">
        <v>0.33333333333333331</v>
      </c>
      <c r="T639" s="1" t="str">
        <f>IF(Start!$B$6="Ja","",IF(((S639-R639)*24)&gt;=5.5,"X",""))</f>
        <v/>
      </c>
      <c r="U639" s="1" t="str">
        <f>IF(_xlfn.IFNA(MATCH($A$15,Start!$H$3:$H$11,0),0)&gt;0,"Ferie",(IF(L639="fri","Fri",(IF(L639="syk","Syk",IF(L639="Ferie","Ferie",IF(AND((S639-R639)=0,AB639=""),"",MAX((IF(T639="X",(S639-R639)*24-0.5,(S639-R639)*24)),AB639))))))))</f>
        <v/>
      </c>
      <c r="V639" s="58"/>
      <c r="W639" s="21" t="str">
        <f t="shared" ref="W639:W645" si="739">IF(Q639=0,"",Q639)</f>
        <v/>
      </c>
      <c r="X639" s="21" t="str">
        <f t="shared" ref="X639:X645" si="740">IF(U639=0,"",U639)</f>
        <v/>
      </c>
      <c r="Z639" s="70" t="str">
        <f>IF(SUMIFS(TrackingTime!H:H,TrackingTime!F:F,Timer!B639,TrackingTime!C:C,"Hovedkontoret")&gt;0,SUMIFS(TrackingTime!H:H,TrackingTime!F:F,Timer!B639,TrackingTime!C:C,"Hovedkontoret"),"")</f>
        <v/>
      </c>
      <c r="AA639" s="71" t="str">
        <f t="shared" ref="AA639" si="741">IFERROR(Z639/24,"")</f>
        <v/>
      </c>
      <c r="AB639" t="str">
        <f>IF(SUMIFS(TrackingTime!H:H,TrackingTime!F:F,Timer!B639,TrackingTime!C:C,Start!$F$3)&gt;0,SUMIFS(TrackingTime!H:H,TrackingTime!F:F,Timer!B639,TrackingTime!C:C,Start!$F$3),"")</f>
        <v/>
      </c>
      <c r="AC639" s="71" t="str">
        <f t="shared" si="685"/>
        <v/>
      </c>
    </row>
    <row r="640" spans="1:29" x14ac:dyDescent="0.25">
      <c r="A640" s="15"/>
      <c r="B640" s="63">
        <f t="shared" ref="B640:B645" si="742">B639+DAY(1)</f>
        <v>46385</v>
      </c>
      <c r="C640" t="str">
        <f>IFERROR(IF(OR(L640="Fri",L640="Ferie",L640="Syk",L640="Omsorg",B640&lt;Start!$B$7),0,IF(IFERROR(MATCH(B640,Start!A$253:A$273,0),0)&gt;0,VLOOKUP(B640,Start!A$253:F$273,3,FALSE)/100*Start!$B$4,VLOOKUP(WEEKDAY(B640,2),Start!A$240:F$246,4,FALSE))),"")</f>
        <v/>
      </c>
      <c r="D640" t="str">
        <f>IFERROR(IF(OR(U640="Fri",U640="Ferie",U640="Syk",U640="Omsorg",B640&lt;Start!$F$7),0,IF(IFERROR(MATCH(B640,Start!A$253:A$273,0),0)&gt;0,VLOOKUP(B640,Start!A$253:F$273,3,FALSE)/100*Start!$F$4,VLOOKUP(WEEKDAY(B640,2),Start!A$240:F$246,6,FALSE))),"")</f>
        <v/>
      </c>
      <c r="E640">
        <f t="shared" ca="1" si="710"/>
        <v>0</v>
      </c>
      <c r="F640">
        <f>IFERROR(IF(YEAR(B640)=Start!$B$1,MONTH(B640),""),"")</f>
        <v>12</v>
      </c>
      <c r="G640" s="64" t="str">
        <f>IFERROR(VLOOKUP(B640,Start!A$111:B$273,2,FALSE),"")</f>
        <v/>
      </c>
      <c r="H640" s="21"/>
      <c r="I640" s="78">
        <v>0.33333333333333331</v>
      </c>
      <c r="J640" s="78">
        <v>0.33333333333333331</v>
      </c>
      <c r="K640" s="1" t="str">
        <f>IF(Start!$B$6="Ja","",IF(((J640-I640)*24)&gt;=5.5,"X",""))</f>
        <v/>
      </c>
      <c r="L640" s="1" t="str">
        <f>IF(_xlfn.IFNA(MATCH($A639,Start!$H$3:$H$11,0),0)&gt;0,"Ferie",IFERROR(IF(VLOOKUP($B640,Start!$A$165:$B$234,2,FALSE)&gt;0,"Fri",0),IF(AND((J640-I640)=0,Z640=""),"",MAX((IF(K640="X",(J640-I640)*24-0.5,(J640-I640)*24)),Z640))))</f>
        <v/>
      </c>
      <c r="M640" s="58"/>
      <c r="N640" s="21" t="str">
        <f t="shared" si="737"/>
        <v/>
      </c>
      <c r="O640" s="21" t="str">
        <f t="shared" si="738"/>
        <v/>
      </c>
      <c r="P640" s="2"/>
      <c r="Q640" s="21"/>
      <c r="R640" s="78">
        <v>0.33333333333333331</v>
      </c>
      <c r="S640" s="78">
        <v>0.33333333333333331</v>
      </c>
      <c r="T640" s="1" t="str">
        <f>IF(Start!$B$6="Ja","",IF(((S640-R640)*24)&gt;=5.5,"X",""))</f>
        <v/>
      </c>
      <c r="U640" s="1" t="str">
        <f>IF(_xlfn.IFNA(MATCH($A$15,Start!$H$3:$H$11,0),0)&gt;0,"Ferie",(IF(L640="fri","Fri",(IF(L640="syk","Syk",IF(L640="Ferie","Ferie",IF(AND((S640-R640)=0,AB640=""),"",MAX((IF(T640="X",(S640-R640)*24-0.5,(S640-R640)*24)),AB640))))))))</f>
        <v/>
      </c>
      <c r="V640" s="58"/>
      <c r="W640" s="21" t="str">
        <f t="shared" si="739"/>
        <v/>
      </c>
      <c r="X640" s="21" t="str">
        <f t="shared" si="740"/>
        <v/>
      </c>
      <c r="Z640" s="70" t="str">
        <f>IF(SUMIFS(TrackingTime!H:H,TrackingTime!F:F,Timer!B640,TrackingTime!C:C,"Hovedkontoret")&gt;0,SUMIFS(TrackingTime!H:H,TrackingTime!F:F,Timer!B640,TrackingTime!C:C,"Hovedkontoret"),"")</f>
        <v/>
      </c>
      <c r="AA640" s="71" t="str">
        <f t="shared" ref="AA640:AA648" si="743">IFERROR(Z640/24,"")</f>
        <v/>
      </c>
      <c r="AB640" t="str">
        <f>IF(SUMIFS(TrackingTime!H:H,TrackingTime!F:F,Timer!B640,TrackingTime!C:C,Start!$F$3)&gt;0,SUMIFS(TrackingTime!H:H,TrackingTime!F:F,Timer!B640,TrackingTime!C:C,Start!$F$3),"")</f>
        <v/>
      </c>
      <c r="AC640" s="71" t="str">
        <f t="shared" si="685"/>
        <v/>
      </c>
    </row>
    <row r="641" spans="1:29" x14ac:dyDescent="0.25">
      <c r="A641" s="15"/>
      <c r="B641" s="63">
        <f t="shared" si="742"/>
        <v>46386</v>
      </c>
      <c r="C641" t="str">
        <f>IFERROR(IF(OR(L641="Fri",L641="Ferie",L641="Syk",L641="Omsorg",B641&lt;Start!$B$7),0,IF(IFERROR(MATCH(B641,Start!A$253:A$273,0),0)&gt;0,VLOOKUP(B641,Start!A$253:F$273,3,FALSE)/100*Start!$B$4,VLOOKUP(WEEKDAY(B641,2),Start!A$240:F$246,4,FALSE))),"")</f>
        <v/>
      </c>
      <c r="D641" t="str">
        <f>IFERROR(IF(OR(U641="Fri",U641="Ferie",U641="Syk",U641="Omsorg",B641&lt;Start!$F$7),0,IF(IFERROR(MATCH(B641,Start!A$253:A$273,0),0)&gt;0,VLOOKUP(B641,Start!A$253:F$273,3,FALSE)/100*Start!$F$4,VLOOKUP(WEEKDAY(B641,2),Start!A$240:F$246,6,FALSE))),"")</f>
        <v/>
      </c>
      <c r="E641">
        <f t="shared" ca="1" si="710"/>
        <v>0</v>
      </c>
      <c r="F641">
        <f>IFERROR(IF(YEAR(B641)=Start!$B$1,MONTH(B641),""),"")</f>
        <v>12</v>
      </c>
      <c r="G641" s="64" t="str">
        <f>IFERROR(VLOOKUP(B641,Start!A$111:B$273,2,FALSE),"")</f>
        <v/>
      </c>
      <c r="H641" s="21"/>
      <c r="I641" s="78">
        <v>0.33333333333333331</v>
      </c>
      <c r="J641" s="78">
        <v>0.33333333333333331</v>
      </c>
      <c r="K641" s="1" t="str">
        <f>IF(Start!$B$6="Ja","",IF(((J641-I641)*24)&gt;=5.5,"X",""))</f>
        <v/>
      </c>
      <c r="L641" s="1" t="str">
        <f>IF(_xlfn.IFNA(MATCH($A639,Start!$H$3:$H$11,0),0)&gt;0,"Ferie",IFERROR(IF(VLOOKUP(B641,Start!A$165:B$234,2,FALSE)&gt;0,"Fri",0),IF(AND((J641-I641)=0,Z641=""),"",MAX((IF(K641="X",(J641-I641)*24-0.5,(J641-I641)*24)),Z641))))</f>
        <v/>
      </c>
      <c r="M641" s="58"/>
      <c r="N641" s="21" t="str">
        <f t="shared" si="737"/>
        <v/>
      </c>
      <c r="O641" s="21" t="str">
        <f t="shared" si="738"/>
        <v/>
      </c>
      <c r="P641" s="2"/>
      <c r="Q641" s="21"/>
      <c r="R641" s="78">
        <v>0.33333333333333331</v>
      </c>
      <c r="S641" s="78">
        <v>0.33333333333333331</v>
      </c>
      <c r="T641" s="1" t="str">
        <f>IF(Start!$B$6="Ja","",IF(((S641-R641)*24)&gt;=5.5,"X",""))</f>
        <v/>
      </c>
      <c r="U641" s="1" t="str">
        <f>IF(_xlfn.IFNA(MATCH($A$15,Start!$H$3:$H$11,0),0)&gt;0,"Ferie",(IF(L641="fri","Fri",(IF(L641="syk","Syk",IF(L641="Ferie","Ferie",IF(AND((S641-R641)=0,AB641=""),"",MAX((IF(T641="X",(S641-R641)*24-0.5,(S641-R641)*24)),AB641))))))))</f>
        <v/>
      </c>
      <c r="V641" s="58"/>
      <c r="W641" s="21" t="str">
        <f t="shared" si="739"/>
        <v/>
      </c>
      <c r="X641" s="21" t="str">
        <f t="shared" si="740"/>
        <v/>
      </c>
      <c r="Z641" s="70" t="str">
        <f>IF(SUMIFS(TrackingTime!H:H,TrackingTime!F:F,Timer!B641,TrackingTime!C:C,"Hovedkontoret")&gt;0,SUMIFS(TrackingTime!H:H,TrackingTime!F:F,Timer!B641,TrackingTime!C:C,"Hovedkontoret"),"")</f>
        <v/>
      </c>
      <c r="AA641" s="71" t="str">
        <f t="shared" si="743"/>
        <v/>
      </c>
      <c r="AB641" t="str">
        <f>IF(SUMIFS(TrackingTime!H:H,TrackingTime!F:F,Timer!B641,TrackingTime!C:C,Start!$F$3)&gt;0,SUMIFS(TrackingTime!H:H,TrackingTime!F:F,Timer!B641,TrackingTime!C:C,Start!$F$3),"")</f>
        <v/>
      </c>
      <c r="AC641" s="71" t="str">
        <f t="shared" si="685"/>
        <v/>
      </c>
    </row>
    <row r="642" spans="1:29" x14ac:dyDescent="0.25">
      <c r="A642" s="15"/>
      <c r="B642" s="63">
        <f t="shared" si="742"/>
        <v>46387</v>
      </c>
      <c r="C642">
        <f>IFERROR(IF(OR(L642="Fri",L642="Ferie",L642="Syk",L642="Omsorg",B642&lt;Start!$B$7),0,IF(IFERROR(MATCH(B642,Start!A$253:A$273,0),0)&gt;0,VLOOKUP(B642,Start!A$253:F$273,3,FALSE)/100*Start!$B$4,VLOOKUP(WEEKDAY(B642,2),Start!A$240:F$246,4,FALSE))),"")</f>
        <v>0</v>
      </c>
      <c r="D642">
        <f>IFERROR(IF(OR(U642="Fri",U642="Ferie",U642="Syk",U642="Omsorg",B642&lt;Start!$F$7),0,IF(IFERROR(MATCH(B642,Start!A$253:A$273,0),0)&gt;0,VLOOKUP(B642,Start!A$253:F$273,3,FALSE)/100*Start!$F$4,VLOOKUP(WEEKDAY(B642,2),Start!A$240:F$246,6,FALSE))),"")</f>
        <v>0</v>
      </c>
      <c r="E642">
        <f t="shared" ca="1" si="710"/>
        <v>0</v>
      </c>
      <c r="F642">
        <f>IFERROR(IF(YEAR(B642)=Start!$B$1,MONTH(B642),""),"")</f>
        <v>12</v>
      </c>
      <c r="G642" s="64" t="str">
        <f>IFERROR(VLOOKUP(B642,Start!A$111:B$273,2,FALSE),"")</f>
        <v>Nyttårsaften</v>
      </c>
      <c r="H642" s="21"/>
      <c r="I642" s="78">
        <v>0.33333333333333331</v>
      </c>
      <c r="J642" s="78">
        <v>0.33333333333333331</v>
      </c>
      <c r="K642" s="1" t="str">
        <f>IF(Start!$B$6="Ja","",IF(((J642-I642)*24)&gt;=5.5,"X",""))</f>
        <v/>
      </c>
      <c r="L642" s="1" t="str">
        <f>IF(_xlfn.IFNA(MATCH($A639,Start!$H$3:$H$11,0),0)&gt;0,"Ferie",IFERROR(IF(VLOOKUP(B642,Start!A$165:B$234,2,FALSE)&gt;0,"Fri",0),IF(AND((J642-I642)=0,Z642=""),"",MAX((IF(K642="X",(J642-I642)*24-0.5,(J642-I642)*24)),Z642))))</f>
        <v/>
      </c>
      <c r="M642" s="58"/>
      <c r="N642" s="21" t="str">
        <f t="shared" si="737"/>
        <v/>
      </c>
      <c r="O642" s="21" t="str">
        <f t="shared" si="738"/>
        <v/>
      </c>
      <c r="P642" s="2"/>
      <c r="Q642" s="21"/>
      <c r="R642" s="78">
        <v>0.33333333333333331</v>
      </c>
      <c r="S642" s="78">
        <v>0.33333333333333331</v>
      </c>
      <c r="T642" s="1" t="str">
        <f>IF(Start!$B$6="Ja","",IF(((S642-R642)*24)&gt;=5.5,"X",""))</f>
        <v/>
      </c>
      <c r="U642" s="1" t="str">
        <f>IF(_xlfn.IFNA(MATCH($A$15,Start!$H$3:$H$11,0),0)&gt;0,"Ferie",(IF(L642="fri","Fri",(IF(L642="syk","Syk",IF(L642="Ferie","Ferie",IF(AND((S642-R642)=0,AB642=""),"",MAX((IF(T642="X",(S642-R642)*24-0.5,(S642-R642)*24)),AB642))))))))</f>
        <v/>
      </c>
      <c r="V642" s="58"/>
      <c r="W642" s="21" t="str">
        <f t="shared" si="739"/>
        <v/>
      </c>
      <c r="X642" s="21" t="str">
        <f t="shared" si="740"/>
        <v/>
      </c>
      <c r="Z642" s="70" t="str">
        <f>IF(SUMIFS(TrackingTime!H:H,TrackingTime!F:F,Timer!B642,TrackingTime!C:C,"Hovedkontoret")&gt;0,SUMIFS(TrackingTime!H:H,TrackingTime!F:F,Timer!B642,TrackingTime!C:C,"Hovedkontoret"),"")</f>
        <v/>
      </c>
      <c r="AA642" s="71" t="str">
        <f t="shared" si="743"/>
        <v/>
      </c>
      <c r="AB642" t="str">
        <f>IF(SUMIFS(TrackingTime!H:H,TrackingTime!F:F,Timer!B642,TrackingTime!C:C,Start!$F$3)&gt;0,SUMIFS(TrackingTime!H:H,TrackingTime!F:F,Timer!B642,TrackingTime!C:C,Start!$F$3),"")</f>
        <v/>
      </c>
      <c r="AC642" s="71" t="str">
        <f t="shared" si="685"/>
        <v/>
      </c>
    </row>
    <row r="643" spans="1:29" x14ac:dyDescent="0.25">
      <c r="A643" s="15"/>
      <c r="B643" s="63">
        <f t="shared" si="742"/>
        <v>46388</v>
      </c>
      <c r="C643">
        <f>IFERROR(IF(OR(L643="Fri",L643="Ferie",L643="Syk",L643="Omsorg",B643&lt;Start!$B$7),0,IF(IFERROR(MATCH(B643,Start!A$253:A$273,0),0)&gt;0,VLOOKUP(B643,Start!A$253:F$273,3,FALSE)/100*Start!$B$4,VLOOKUP(WEEKDAY(B643,2),Start!A$240:F$246,4,FALSE))),"")</f>
        <v>0</v>
      </c>
      <c r="D643">
        <f>IFERROR(IF(OR(U643="Fri",U643="Ferie",U643="Syk",U643="Omsorg",B643&lt;Start!$F$7),0,IF(IFERROR(MATCH(B643,Start!A$253:A$273,0),0)&gt;0,VLOOKUP(B643,Start!A$253:F$273,3,FALSE)/100*Start!$F$4,VLOOKUP(WEEKDAY(B643,2),Start!A$240:F$246,6,FALSE))),"")</f>
        <v>0</v>
      </c>
      <c r="E643">
        <f t="shared" ca="1" si="710"/>
        <v>0</v>
      </c>
      <c r="F643" t="str">
        <f>IFERROR(IF(YEAR(B643)=Start!$B$1,MONTH(B643),""),"")</f>
        <v/>
      </c>
      <c r="G643" s="64" t="str">
        <f>IFERROR(VLOOKUP(B643,Start!A$111:B$273,2,FALSE),"")</f>
        <v>1. nyttårsdag</v>
      </c>
      <c r="H643" s="21"/>
      <c r="I643" s="78">
        <v>0.33333333333333331</v>
      </c>
      <c r="J643" s="78">
        <v>0.33333333333333331</v>
      </c>
      <c r="K643" s="1" t="str">
        <f>IF(Start!$B$6="Ja","",IF(((J643-I643)*24)&gt;=5.5,"X",""))</f>
        <v/>
      </c>
      <c r="L643" s="1" t="str">
        <f>IF(_xlfn.IFNA(MATCH($A639,Start!$H$3:$H$11,0),0)&gt;0,"Ferie",IFERROR(IF(VLOOKUP(B643,Start!A$165:B$234,2,FALSE)&gt;0,"Fri",0),IF(AND((J643-I643)=0,Z643=""),"",MAX((IF(K643="X",(J643-I643)*24-0.5,(J643-I643)*24)),Z643))))</f>
        <v>Fri</v>
      </c>
      <c r="M643" s="58"/>
      <c r="N643" s="21" t="str">
        <f t="shared" si="737"/>
        <v/>
      </c>
      <c r="O643" s="21" t="str">
        <f t="shared" si="738"/>
        <v>Fri</v>
      </c>
      <c r="P643" s="2"/>
      <c r="Q643" s="21"/>
      <c r="R643" s="78">
        <v>0.33333333333333331</v>
      </c>
      <c r="S643" s="78">
        <v>0.33333333333333331</v>
      </c>
      <c r="T643" s="1" t="str">
        <f>IF(Start!$B$6="Ja","",IF(((S643-R643)*24)&gt;=5.5,"X",""))</f>
        <v/>
      </c>
      <c r="U643" s="1" t="str">
        <f>IF(_xlfn.IFNA(MATCH($A$15,Start!$H$3:$H$11,0),0)&gt;0,"Ferie",(IF(L643="fri","Fri",(IF(L643="syk","Syk",IF(L643="Ferie","Ferie",IF(AND((S643-R643)=0,AB643=""),"",MAX((IF(T643="X",(S643-R643)*24-0.5,(S643-R643)*24)),AB643))))))))</f>
        <v>Fri</v>
      </c>
      <c r="V643" s="58"/>
      <c r="W643" s="21" t="str">
        <f t="shared" si="739"/>
        <v/>
      </c>
      <c r="X643" s="21" t="str">
        <f t="shared" si="740"/>
        <v>Fri</v>
      </c>
      <c r="Z643" s="70" t="str">
        <f>IF(SUMIFS(TrackingTime!H:H,TrackingTime!F:F,Timer!B643,TrackingTime!C:C,"Hovedkontoret")&gt;0,SUMIFS(TrackingTime!H:H,TrackingTime!F:F,Timer!B643,TrackingTime!C:C,"Hovedkontoret"),"")</f>
        <v/>
      </c>
      <c r="AA643" s="71" t="str">
        <f t="shared" si="743"/>
        <v/>
      </c>
      <c r="AB643" t="str">
        <f>IF(SUMIFS(TrackingTime!H:H,TrackingTime!F:F,Timer!B643,TrackingTime!C:C,Start!$F$3)&gt;0,SUMIFS(TrackingTime!H:H,TrackingTime!F:F,Timer!B643,TrackingTime!C:C,Start!$F$3),"")</f>
        <v/>
      </c>
      <c r="AC643" s="71" t="str">
        <f t="shared" si="685"/>
        <v/>
      </c>
    </row>
    <row r="644" spans="1:29" x14ac:dyDescent="0.25">
      <c r="A644" s="15"/>
      <c r="B644" s="63">
        <f t="shared" si="742"/>
        <v>46389</v>
      </c>
      <c r="C644">
        <f>IFERROR(IF(OR(L644="Fri",L644="Ferie",L644="Syk",L644="Omsorg",B644&lt;Start!$B$7),0,IF(IFERROR(MATCH(B644,Start!A$253:A$273,0),0)&gt;0,VLOOKUP(B644,Start!A$253:F$273,3,FALSE)/100*Start!$B$4,VLOOKUP(WEEKDAY(B644,2),Start!A$240:F$246,4,FALSE))),"")</f>
        <v>0</v>
      </c>
      <c r="D644">
        <f>IFERROR(IF(OR(U644="Fri",U644="Ferie",U644="Syk",U644="Omsorg",B644&lt;Start!$F$7),0,IF(IFERROR(MATCH(B644,Start!A$253:A$273,0),0)&gt;0,VLOOKUP(B644,Start!A$253:F$273,3,FALSE)/100*Start!$F$4,VLOOKUP(WEEKDAY(B644,2),Start!A$240:F$246,6,FALSE))),"")</f>
        <v>0</v>
      </c>
      <c r="E644">
        <f t="shared" ca="1" si="710"/>
        <v>0</v>
      </c>
      <c r="F644" t="str">
        <f>IFERROR(IF(YEAR(B644)=Start!$B$1,MONTH(B644),""),"")</f>
        <v/>
      </c>
      <c r="G644" s="64" t="str">
        <f>IFERROR(VLOOKUP(B644,Start!A$111:B$273,2,FALSE),"")</f>
        <v/>
      </c>
      <c r="H644" s="21"/>
      <c r="I644" s="78">
        <v>0.41666666666666669</v>
      </c>
      <c r="J644" s="78">
        <v>0.41666666666666669</v>
      </c>
      <c r="K644" s="1" t="str">
        <f>IF(Start!$B$6="Ja","",IF(((J644-I644)*24)&gt;=5.5,"X",""))</f>
        <v/>
      </c>
      <c r="L644" s="1" t="str">
        <f t="shared" ref="L644:L645" si="744">IF(AND((J644-I644)=0,Z644=""),"",MAX((IF(K644="X",(J644-I644)*24-0.5,(J644-I644)*24)),Z644))</f>
        <v/>
      </c>
      <c r="M644" s="58"/>
      <c r="N644" s="21" t="str">
        <f t="shared" si="737"/>
        <v/>
      </c>
      <c r="O644" s="21" t="str">
        <f t="shared" si="738"/>
        <v/>
      </c>
      <c r="P644" s="2"/>
      <c r="Q644" s="21"/>
      <c r="R644" s="78">
        <v>0.41666666666666669</v>
      </c>
      <c r="S644" s="78">
        <v>0.41666666666666669</v>
      </c>
      <c r="T644" s="1" t="str">
        <f>IF(Start!$B$6="Ja","",IF(((S644-R644)*24)&gt;=5.5,"X",""))</f>
        <v/>
      </c>
      <c r="U644" s="1" t="str">
        <f t="shared" ref="U644:U645" si="745">IF(AND((S644-R644)=0,AB644=""),"",MAX((IF(T644="X",(S644-R644)*24-0.5,(S644-R644)*24)),AB644))</f>
        <v/>
      </c>
      <c r="V644" s="58"/>
      <c r="W644" s="21" t="str">
        <f t="shared" si="739"/>
        <v/>
      </c>
      <c r="X644" s="21" t="str">
        <f t="shared" si="740"/>
        <v/>
      </c>
      <c r="Z644" s="70" t="str">
        <f>IF(SUMIFS(TrackingTime!H:H,TrackingTime!F:F,Timer!B644,TrackingTime!C:C,"Hovedkontoret")&gt;0,SUMIFS(TrackingTime!H:H,TrackingTime!F:F,Timer!B644,TrackingTime!C:C,"Hovedkontoret"),"")</f>
        <v/>
      </c>
      <c r="AA644" s="71" t="str">
        <f t="shared" si="743"/>
        <v/>
      </c>
      <c r="AB644" t="str">
        <f>IF(SUMIFS(TrackingTime!H:H,TrackingTime!F:F,Timer!B644,TrackingTime!C:C,Start!$F$3)&gt;0,SUMIFS(TrackingTime!H:H,TrackingTime!F:F,Timer!B644,TrackingTime!C:C,Start!$F$3),"")</f>
        <v/>
      </c>
      <c r="AC644" s="71" t="str">
        <f t="shared" si="685"/>
        <v/>
      </c>
    </row>
    <row r="645" spans="1:29" x14ac:dyDescent="0.25">
      <c r="A645" s="15"/>
      <c r="B645" s="63">
        <f t="shared" si="742"/>
        <v>46390</v>
      </c>
      <c r="C645">
        <f>IFERROR(IF(OR(L645="Fri",L645="Ferie",L645="Syk",L645="Omsorg",B645&lt;Start!$B$7),0,IF(IFERROR(MATCH(B645,Start!A$253:A$273,0),0)&gt;0,VLOOKUP(B645,Start!A$253:F$273,3,FALSE)/100*Start!$B$4,VLOOKUP(WEEKDAY(B645,2),Start!A$240:F$246,4,FALSE))),"")</f>
        <v>0</v>
      </c>
      <c r="D645">
        <f>IFERROR(IF(OR(U645="Fri",U645="Ferie",U645="Syk",U645="Omsorg",B645&lt;Start!$F$7),0,IF(IFERROR(MATCH(B645,Start!A$253:A$273,0),0)&gt;0,VLOOKUP(B645,Start!A$253:F$273,3,FALSE)/100*Start!$F$4,VLOOKUP(WEEKDAY(B645,2),Start!A$240:F$246,6,FALSE))),"")</f>
        <v>0</v>
      </c>
      <c r="E645">
        <f t="shared" ca="1" si="710"/>
        <v>0</v>
      </c>
      <c r="F645" t="str">
        <f>IFERROR(IF(YEAR(B645)=Start!$B$1,MONTH(B645),""),"")</f>
        <v/>
      </c>
      <c r="G645" s="64" t="str">
        <f>IFERROR(VLOOKUP(B645,Start!A$111:B$273,2,FALSE),"")</f>
        <v/>
      </c>
      <c r="H645" s="25"/>
      <c r="I645" s="78">
        <v>0.41666666666666669</v>
      </c>
      <c r="J645" s="78">
        <v>0.41666666666666669</v>
      </c>
      <c r="K645" s="1" t="str">
        <f>IF(Start!$B$6="Ja","",IF(((J645-I645)*24)&gt;=5.5,"X",""))</f>
        <v/>
      </c>
      <c r="L645" s="1" t="str">
        <f t="shared" si="744"/>
        <v/>
      </c>
      <c r="M645" s="58"/>
      <c r="N645" s="21" t="str">
        <f t="shared" si="737"/>
        <v/>
      </c>
      <c r="O645" s="21" t="str">
        <f t="shared" si="738"/>
        <v/>
      </c>
      <c r="Q645" s="25"/>
      <c r="R645" s="78">
        <v>0.41666666666666669</v>
      </c>
      <c r="S645" s="78">
        <v>0.41666666666666669</v>
      </c>
      <c r="T645" s="1" t="str">
        <f>IF(Start!$B$6="Ja","",IF(((S645-R645)*24)&gt;=5.5,"X",""))</f>
        <v/>
      </c>
      <c r="U645" s="1" t="str">
        <f t="shared" si="745"/>
        <v/>
      </c>
      <c r="V645" s="58"/>
      <c r="W645" s="21" t="str">
        <f t="shared" si="739"/>
        <v/>
      </c>
      <c r="X645" s="21" t="str">
        <f t="shared" si="740"/>
        <v/>
      </c>
      <c r="Z645" s="70" t="str">
        <f>IF(SUMIFS(TrackingTime!H:H,TrackingTime!F:F,Timer!B645,TrackingTime!C:C,"Hovedkontoret")&gt;0,SUMIFS(TrackingTime!H:H,TrackingTime!F:F,Timer!B645,TrackingTime!C:C,"Hovedkontoret"),"")</f>
        <v/>
      </c>
      <c r="AA645" s="71" t="str">
        <f t="shared" si="743"/>
        <v/>
      </c>
      <c r="AB645" t="str">
        <f>IF(SUMIFS(TrackingTime!H:H,TrackingTime!F:F,Timer!B645,TrackingTime!C:C,Start!$F$3)&gt;0,SUMIFS(TrackingTime!H:H,TrackingTime!F:F,Timer!B645,TrackingTime!C:C,Start!$F$3),"")</f>
        <v/>
      </c>
      <c r="AC645" s="71" t="str">
        <f t="shared" si="685"/>
        <v/>
      </c>
    </row>
    <row r="646" spans="1:29" x14ac:dyDescent="0.25">
      <c r="A646" s="15"/>
      <c r="B646" s="4" t="s">
        <v>11</v>
      </c>
      <c r="C646" s="24"/>
      <c r="D646" s="24"/>
      <c r="E646" s="24">
        <f t="shared" ca="1" si="710"/>
        <v>0</v>
      </c>
      <c r="F646" s="24" t="str">
        <f>IFERROR(IF(YEAR(B646)=Start!$B$1,MONTH(B646),""),"")</f>
        <v/>
      </c>
      <c r="G646" s="64" t="str">
        <f>IFERROR(VLOOKUP(B646,Start!A$111:B$273,2,FALSE),"")</f>
        <v/>
      </c>
      <c r="H646" s="4"/>
      <c r="I646" s="4"/>
      <c r="J646" s="4"/>
      <c r="K646" s="4"/>
      <c r="L646" s="5">
        <f t="shared" si="688"/>
        <v>0</v>
      </c>
      <c r="N646" s="24"/>
      <c r="O646" s="39">
        <f t="shared" ref="O646" si="746">SUM(O639:O645)</f>
        <v>0</v>
      </c>
      <c r="P646" s="40"/>
      <c r="Q646" s="41"/>
      <c r="R646" s="4"/>
      <c r="S646" s="4"/>
      <c r="T646" s="4"/>
      <c r="U646" s="5">
        <f t="shared" ref="U646" si="747">SUM($U639:$U645)</f>
        <v>0</v>
      </c>
      <c r="V646" s="58"/>
      <c r="W646" s="39"/>
      <c r="X646" s="39">
        <f t="shared" ref="X646" si="748">SUM(X639:X645)</f>
        <v>0</v>
      </c>
      <c r="Z646" s="70" t="str">
        <f>IF(SUMIFS(TrackingTime!H:H,TrackingTime!F:F,Timer!B646,TrackingTime!C:C,"Hovedkontoret")&gt;0,SUMIFS(TrackingTime!H:H,TrackingTime!F:F,Timer!B646,TrackingTime!C:C,"Hovedkontoret"),"")</f>
        <v/>
      </c>
      <c r="AA646" s="71" t="str">
        <f t="shared" si="743"/>
        <v/>
      </c>
      <c r="AB646" t="str">
        <f>IF(SUMIFS(TrackingTime!H:H,TrackingTime!F:F,Timer!B646,TrackingTime!C:C,Start!$F$3)&gt;0,SUMIFS(TrackingTime!H:H,TrackingTime!F:F,Timer!B646,TrackingTime!C:C,Start!$F$3),"")</f>
        <v/>
      </c>
      <c r="AC646" s="71" t="str">
        <f t="shared" si="685"/>
        <v/>
      </c>
    </row>
    <row r="647" spans="1:29" x14ac:dyDescent="0.25">
      <c r="A647" s="15"/>
      <c r="B647" t="s">
        <v>90</v>
      </c>
      <c r="E647">
        <f t="shared" ca="1" si="710"/>
        <v>0</v>
      </c>
      <c r="F647" t="str">
        <f>IFERROR(IF(YEAR(B647)=Start!$B$1,MONTH(B647),""),"")</f>
        <v/>
      </c>
      <c r="G647" s="64" t="str">
        <f>IFERROR(VLOOKUP(B647,Start!A$111:B$273,2,FALSE),"")</f>
        <v/>
      </c>
      <c r="L647" s="1">
        <f t="shared" si="691"/>
        <v>0</v>
      </c>
      <c r="M647" s="1"/>
      <c r="N647" s="1"/>
      <c r="O647" s="21">
        <f t="shared" ref="O647" si="749">L647</f>
        <v>0</v>
      </c>
      <c r="P647" s="40"/>
      <c r="Q647" s="21"/>
      <c r="U647" s="1">
        <f t="shared" ref="U647" si="750">SUMIFS(D639:D645,F639:F645,"&gt;0")</f>
        <v>0</v>
      </c>
      <c r="V647" s="1"/>
      <c r="W647" s="1"/>
      <c r="X647" s="21">
        <f>U647</f>
        <v>0</v>
      </c>
      <c r="Z647" s="70" t="str">
        <f>IF(SUMIFS(TrackingTime!H:H,TrackingTime!F:F,Timer!B647,TrackingTime!C:C,"Hovedkontoret")&gt;0,SUMIFS(TrackingTime!H:H,TrackingTime!F:F,Timer!B647,TrackingTime!C:C,"Hovedkontoret"),"")</f>
        <v/>
      </c>
      <c r="AA647" s="71" t="str">
        <f t="shared" si="743"/>
        <v/>
      </c>
      <c r="AB647" t="str">
        <f>IF(SUMIFS(TrackingTime!H:H,TrackingTime!F:F,Timer!B647,TrackingTime!C:C,Start!$F$3)&gt;0,SUMIFS(TrackingTime!H:H,TrackingTime!F:F,Timer!B647,TrackingTime!C:C,Start!$F$3),"")</f>
        <v/>
      </c>
      <c r="AC647" s="71" t="str">
        <f t="shared" si="685"/>
        <v/>
      </c>
    </row>
    <row r="648" spans="1:29" x14ac:dyDescent="0.25">
      <c r="A648" s="16">
        <f>B645-B639-1</f>
        <v>5</v>
      </c>
      <c r="B648" t="s">
        <v>117</v>
      </c>
      <c r="E648">
        <f t="shared" ca="1" si="710"/>
        <v>0</v>
      </c>
      <c r="F648" t="str">
        <f>IFERROR(IF(YEAR(B648)=Start!$B$1,MONTH(B648),""),"")</f>
        <v/>
      </c>
      <c r="G648" s="64" t="str">
        <f>IFERROR(VLOOKUP(B648,Start!A$111:B$273,2,FALSE),"")</f>
        <v/>
      </c>
      <c r="L648" s="77">
        <f t="shared" ca="1" si="694"/>
        <v>0</v>
      </c>
      <c r="O648" s="21">
        <f t="shared" ref="O648" si="751">O646-O647</f>
        <v>0</v>
      </c>
      <c r="P648" s="21"/>
      <c r="Q648" s="21"/>
      <c r="U648" s="1">
        <f t="shared" ref="U648" ca="1" si="752">U646-U647*(IF(NETWORKDAYS($B639,TODAY())&lt;0,0,IF(NETWORKDAYS($B639,TODAY())&lt;=$A648,NETWORKDAYS($B639,TODAY()),$A648)))/$A648</f>
        <v>0</v>
      </c>
      <c r="V648" s="58"/>
      <c r="W648" s="21"/>
      <c r="X648" s="21">
        <f>X646-X647</f>
        <v>0</v>
      </c>
      <c r="Z648" s="70" t="str">
        <f>IF(SUMIFS(TrackingTime!H:H,TrackingTime!F:F,Timer!B648,TrackingTime!C:C,"Hovedkontoret")&gt;0,SUMIFS(TrackingTime!H:H,TrackingTime!F:F,Timer!B648,TrackingTime!C:C,"Hovedkontoret"),"")</f>
        <v/>
      </c>
      <c r="AA648" s="71" t="str">
        <f t="shared" si="743"/>
        <v/>
      </c>
      <c r="AB648" t="str">
        <f>IF(SUMIFS(TrackingTime!H:H,TrackingTime!F:F,Timer!B648,TrackingTime!C:C,Start!$F$3)&gt;0,SUMIFS(TrackingTime!H:H,TrackingTime!F:F,Timer!B648,TrackingTime!C:C,Start!$F$3),"")</f>
        <v/>
      </c>
      <c r="AC648" s="71" t="str">
        <f t="shared" si="685"/>
        <v/>
      </c>
    </row>
    <row r="649" spans="1:29" x14ac:dyDescent="0.25">
      <c r="A649" s="15"/>
      <c r="E649">
        <f t="shared" ca="1" si="710"/>
        <v>1</v>
      </c>
      <c r="F649" t="str">
        <f>IFERROR(IF(YEAR(B649)=Start!$B$1,MONTH(B649),""),"")</f>
        <v/>
      </c>
      <c r="G649" s="64" t="str">
        <f>IFERROR(VLOOKUP(B649,Start!A$111:B$273,2,FALSE),"")</f>
        <v/>
      </c>
      <c r="O649" s="2"/>
      <c r="P649" s="2"/>
      <c r="U649" s="1"/>
    </row>
  </sheetData>
  <protectedRanges>
    <protectedRange sqref="Y51:Y57" name="Område5" securityDescriptor="O:WDG:WDD:(A;;CC;;;WD)"/>
    <protectedRange sqref="M27:Q33 M39:Q45 M51:Q57 M63:Q69 M75:Q81 M87:Q93 M99:Q105 M111:Q117 M123:Q129 M135:Q141 M147:Q153 M159:Q165 M171:Q177 M183:Q189 M195:Q201 M207:Q213 M219:Q225 M231:Q237 M243:Q249 M255:Q261 M267:Q273 M279:Q285 M291:Q297 M303:Q309 M315:Q321 M327:Q333 M339:Q345 M351:Q357 M363:Q369 M375:Q381 M387:Q393 M399:Q405 M411:Q417 M423:Q429 M435:Q441 M447:Q453 M459:Q465 M471:Q477 M483:Q489 M495:Q501 M507:Q513 M519:Q525 M531:Q537 M543:Q549 M555:Q561 M567:Q573 M579:Q585 M591:Q597 M603:Q609 M615:Q621 M627:Q633 M639:Q645 V27:X33 V39:X45 V51:X57 V63:X69 V75:X81 V87:X93 V99:X105 V111:X117 V123:X129 V135:X141 V147:X153 V159:X165 V171:X177 V183:X189 V195:X201 V207:X213 V219:X225 V231:X237 V243:X249 V255:X261 V267:X273 V279:X285 V291:X297 V303:X309 V315:X321 V327:X333 V339:X345 V351:X357 V363:X369 V375:X381 V387:X393 V399:X405 V411:X417 V423:X429 V435:X441 V447:X453 V459:X465 V471:X477 V483:X489 V495:X501 V507:X513 V519:X525 V531:X537 V543:X549 V555:X561 V567:X573 V579:X585 V591:X597 V603:X609 V615:X621 V627:X633 V639:X645" name="Område3"/>
    <protectedRange sqref="V15:X21 H15:K21 H27:K33 H39:K45 H51:K57 H63:K69 H75:K81 H87:K93 H99:K105 H111:K117 H123:K129 H135:K141 H147:K153 H159:K165 H171:K177 H183:K189 H195:K201 H207:K213 H219:K225 H231:K237 H243:K249 H255:K261 H267:K273 H279:K285 H291:K297 H303:K309 H315:K321 H327:K333 H339:K345 H351:K357 H363:K369 H375:K381 H387:K393 H399:K405 H411:K417 H423:K429 H435:K441 H447:K453 H459:K465 H471:K477 H483:K489 H495:K501 H507:K513 H519:K525 H531:K537 H543:K549 H555:K561 H567:K573 H579:K585 H591:K597 H603:K609 H615:K621 H627:K633 H639:K645 M15:T21 R27:T33 R39:T45 R51:T57 R63:T69 R75:T81 R87:T93 R99:T105 R111:T117 R123:T129 R135:T141 R147:T153 R159:T165 R171:T177 R183:T189 R195:T201 R207:T213 R219:T225 R231:T237 R243:T249 R255:T261 R267:T273 R279:T285 R291:T297 R303:T309 R315:T321 R327:T333 R339:T345 R351:T357 R363:T369 R375:T381 R387:T393 R399:T405 R411:T417 R423:T429 R435:T441 R447:T453 R459:T465 R471:T477 R483:T489 R495:T501 R507:T513 R519:T525 R531:T537 R543:T549 R555:T561 R567:T573 R579:T585 R591:T597 R603:T609 R615:T621 R627:T633 R639:T645" name="Område2"/>
    <protectedRange sqref="L147:L153 L16:L22 L28:L34 L40:L46 L52:L58 L64:L70 L76:L82 L88:L94 L100:L106 L112:L118 L124:L130 L136:L142 L159:L165 L171:L177 L183:L189 L195:L201 L207:L213 L219:L225 L231:L237 L243:L249 L255:L261 L267:L273 L279:L285 L291:L297 L303:L309 L315:L321 L327:L333 L339:L345 L351:L357 L363:L369 L375:L381 L387:L393 L399:L405 L411:L417 L423:L429 L435:L441 L447:L453 L459:L465 L471:L477 L483:L489 L495:L501 L507:L513 L519:L525 L531:L537 L543:L549 L555:L561 L567:L573 L579:L585 L591:L597 L603:L609 L615:L621 L627:L633 L639:L645" name="Område3_1"/>
    <protectedRange sqref="U15:U21 U27:U33 U39:U45 U51:U57 U63:U69 U75:U81 U87:U93 U99:U105 U111:U117 U123:U129 U135:U141 U147:U153 U159:U165 U171:U177 U183:U189 U195:U201 U207:U213 U219:U225 U231:U237 U243:U249 U255:U261 U267:U273 U279:U285 U291:U297 U303:U309 U315:U321 U327:U333 U339:U345 U351:U357 U363:U369 U375:U381 U387:U393 U399:U405 U411:U417 U423:U429 U435:U441 U447:U453 U459:U465 U471:U477 U483:U489 U495:U501 U507:U513 U519:U525 U531:U537 U543:U549 U555:U561 U567:U573 U579:U585 U591:U597 U603:U609 U615:U621 U627:U633 U639:U645" name="Område2_3"/>
  </protectedRanges>
  <customSheetViews>
    <customSheetView guid="{8A5310C6-85D3-4EFB-A6FD-BCB4F0103349}" showPageBreaks="1" hiddenColumns="1">
      <pane xSplit="2" ySplit="1" topLeftCell="C2" activePane="bottomRight" state="frozen"/>
      <selection pane="bottomRight" activeCell="H15" sqref="H15"/>
      <pageMargins left="0" right="0" top="0" bottom="0" header="0" footer="0"/>
      <pageSetup paperSize="9" firstPageNumber="0" orientation="portrait" horizontalDpi="300" verticalDpi="300" r:id="rId1"/>
      <headerFooter alignWithMargins="0"/>
    </customSheetView>
  </customSheetViews>
  <phoneticPr fontId="4" type="noConversion"/>
  <conditionalFormatting sqref="B15:B648">
    <cfRule type="expression" dxfId="2" priority="9">
      <formula>$B15=TODAY()</formula>
    </cfRule>
  </conditionalFormatting>
  <conditionalFormatting sqref="L16:L22 L28:L34 L40:L46 L52:L58 L64:L70 L76:L82 L88:L94 L100:L106 L112:L118 L124:L130 L136:L142 L147:L153 L159:L165 L171:L177 L183:L189 L195:L201 L207:L213 L219:L225 L231:L237 L243:L249 L255:L261 L267:L273 L279:L285 L291:L297 L303:L309 L315:L321 L327:L333 L339:L345 L351:L357 L363:L369 L375:L381 L387:L393 L399:L405 L411:L417 L423:L429 L435:L441 L447:L453 L459:L465 L471:L477 L483:L489 L495:L501 L507:L513 L519:L525 L531:L537 L543:L549 L555:L561 L567:L573 L579:L585 L591:L597 L603:L609 L615:L621 L627:L633 L639:L645">
    <cfRule type="containsText" priority="5" stopIfTrue="1" operator="containsText" text="Syk">
      <formula>NOT(ISERROR(SEARCH("Syk",L16)))</formula>
    </cfRule>
    <cfRule type="containsText" priority="6" stopIfTrue="1" operator="containsText" text="ri">
      <formula>NOT(ISERROR(SEARCH("ri",L16)))</formula>
    </cfRule>
    <cfRule type="containsBlanks" priority="7" stopIfTrue="1">
      <formula>LEN(TRIM(L16))=0</formula>
    </cfRule>
    <cfRule type="cellIs" dxfId="1" priority="8" operator="greaterThan">
      <formula>10</formula>
    </cfRule>
  </conditionalFormatting>
  <conditionalFormatting sqref="U15:U21 U27:U33 U39:U45 U51:U57 U63:U69 U75:U81 U87:U93 U99:U105 U111:U117 U123:U129 U135:U141 U147:U153 U159:U165 U171:U177 U183:U189 U195:U201 U207:U213 U219:U225 U231:U237 U243:U249 U255:U261 U267:U273 U279:U285 U291:U297 U303:U309 U315:U321 U327:U333 U339:U345 U351:U357 U363:U369 U375:U381 U387:U393 U399:U405 U411:U417 U423:U429 U435:U441 U447:U453 U459:U465 U471:U477 U483:U489 U495:U501 U507:U513 U519:U525 U531:U537 U543:U549 U555:U561 U567:U573 U579:U585 U591:U597 U603:U609 U615:U621 U627:U633 U639:U645">
    <cfRule type="containsText" priority="1" stopIfTrue="1" operator="containsText" text="Syk">
      <formula>NOT(ISERROR(SEARCH("Syk",U15)))</formula>
    </cfRule>
    <cfRule type="containsText" priority="2" stopIfTrue="1" operator="containsText" text="ri">
      <formula>NOT(ISERROR(SEARCH("ri",U15)))</formula>
    </cfRule>
    <cfRule type="containsBlanks" priority="3" stopIfTrue="1">
      <formula>LEN(TRIM(U15))=0</formula>
    </cfRule>
    <cfRule type="cellIs" dxfId="0" priority="4" operator="greaterThan">
      <formula>10</formula>
    </cfRule>
  </conditionalFormatting>
  <pageMargins left="0.74803149606299213" right="0.74803149606299213" top="0.98425196850393704" bottom="0.98425196850393704" header="0.51181102362204722" footer="0.51181102362204722"/>
  <pageSetup paperSize="9" firstPageNumber="0" orientation="portrait" horizontalDpi="300" verticalDpi="300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773656CC-111B-4087-8F8B-9A192EC699FA}">
          <x14:formula1>
            <xm:f>Start!$A$92:$A$104</xm:f>
          </x14:formula1>
          <xm:sqref>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5CFC5-D43F-479E-BC6A-78B5EB28A337}">
  <dimension ref="A1:I731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0.77734375" defaultRowHeight="13.2" x14ac:dyDescent="0.25"/>
  <sheetData>
    <row r="1" spans="1:9" x14ac:dyDescent="0.25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  <c r="H1" t="s">
        <v>98</v>
      </c>
      <c r="I1" t="s">
        <v>99</v>
      </c>
    </row>
    <row r="2" spans="1:9" x14ac:dyDescent="0.25">
      <c r="F2" s="50"/>
      <c r="G2" s="72"/>
      <c r="I2" s="71"/>
    </row>
    <row r="3" spans="1:9" x14ac:dyDescent="0.25">
      <c r="F3" s="50"/>
      <c r="G3" s="72"/>
      <c r="I3" s="71"/>
    </row>
    <row r="4" spans="1:9" x14ac:dyDescent="0.25">
      <c r="F4" s="50"/>
      <c r="G4" s="72"/>
      <c r="I4" s="71"/>
    </row>
    <row r="5" spans="1:9" x14ac:dyDescent="0.25">
      <c r="F5" s="50"/>
      <c r="G5" s="72"/>
      <c r="I5" s="71"/>
    </row>
    <row r="6" spans="1:9" x14ac:dyDescent="0.25">
      <c r="F6" s="50"/>
      <c r="G6" s="72"/>
      <c r="I6" s="71"/>
    </row>
    <row r="7" spans="1:9" x14ac:dyDescent="0.25">
      <c r="F7" s="50"/>
      <c r="G7" s="72"/>
      <c r="I7" s="71"/>
    </row>
    <row r="8" spans="1:9" x14ac:dyDescent="0.25">
      <c r="F8" s="50"/>
      <c r="G8" s="72"/>
      <c r="I8" s="71"/>
    </row>
    <row r="9" spans="1:9" x14ac:dyDescent="0.25">
      <c r="F9" s="50"/>
      <c r="G9" s="72"/>
      <c r="I9" s="71"/>
    </row>
    <row r="10" spans="1:9" x14ac:dyDescent="0.25">
      <c r="F10" s="50"/>
      <c r="G10" s="72"/>
      <c r="I10" s="71"/>
    </row>
    <row r="11" spans="1:9" x14ac:dyDescent="0.25">
      <c r="F11" s="50"/>
      <c r="G11" s="72"/>
      <c r="I11" s="71"/>
    </row>
    <row r="12" spans="1:9" x14ac:dyDescent="0.25">
      <c r="F12" s="50"/>
      <c r="G12" s="72"/>
      <c r="I12" s="71"/>
    </row>
    <row r="13" spans="1:9" x14ac:dyDescent="0.25">
      <c r="F13" s="50"/>
      <c r="G13" s="72"/>
      <c r="I13" s="71"/>
    </row>
    <row r="14" spans="1:9" x14ac:dyDescent="0.25">
      <c r="F14" s="50"/>
      <c r="G14" s="72"/>
      <c r="I14" s="71"/>
    </row>
    <row r="15" spans="1:9" x14ac:dyDescent="0.25">
      <c r="F15" s="50"/>
      <c r="G15" s="72"/>
      <c r="I15" s="71"/>
    </row>
    <row r="16" spans="1:9" x14ac:dyDescent="0.25">
      <c r="F16" s="50"/>
      <c r="G16" s="72"/>
      <c r="I16" s="71"/>
    </row>
    <row r="17" spans="6:9" x14ac:dyDescent="0.25">
      <c r="F17" s="50"/>
      <c r="G17" s="72"/>
      <c r="I17" s="71"/>
    </row>
    <row r="18" spans="6:9" x14ac:dyDescent="0.25">
      <c r="F18" s="50"/>
      <c r="G18" s="72"/>
      <c r="I18" s="71"/>
    </row>
    <row r="19" spans="6:9" x14ac:dyDescent="0.25">
      <c r="F19" s="50"/>
      <c r="G19" s="72"/>
      <c r="I19" s="71"/>
    </row>
    <row r="20" spans="6:9" x14ac:dyDescent="0.25">
      <c r="F20" s="50"/>
      <c r="G20" s="72"/>
      <c r="I20" s="71"/>
    </row>
    <row r="21" spans="6:9" x14ac:dyDescent="0.25">
      <c r="F21" s="50"/>
      <c r="G21" s="72"/>
      <c r="I21" s="71"/>
    </row>
    <row r="22" spans="6:9" x14ac:dyDescent="0.25">
      <c r="F22" s="50"/>
      <c r="G22" s="72"/>
      <c r="I22" s="71"/>
    </row>
    <row r="23" spans="6:9" x14ac:dyDescent="0.25">
      <c r="F23" s="50"/>
      <c r="G23" s="72"/>
      <c r="I23" s="71"/>
    </row>
    <row r="24" spans="6:9" x14ac:dyDescent="0.25">
      <c r="F24" s="50"/>
      <c r="G24" s="72"/>
      <c r="I24" s="71"/>
    </row>
    <row r="25" spans="6:9" x14ac:dyDescent="0.25">
      <c r="F25" s="50"/>
      <c r="G25" s="72"/>
      <c r="I25" s="71"/>
    </row>
    <row r="26" spans="6:9" x14ac:dyDescent="0.25">
      <c r="F26" s="50"/>
      <c r="G26" s="72"/>
      <c r="I26" s="71"/>
    </row>
    <row r="27" spans="6:9" x14ac:dyDescent="0.25">
      <c r="F27" s="50"/>
      <c r="G27" s="72"/>
      <c r="I27" s="71"/>
    </row>
    <row r="28" spans="6:9" x14ac:dyDescent="0.25">
      <c r="F28" s="50"/>
      <c r="G28" s="72"/>
      <c r="I28" s="71"/>
    </row>
    <row r="29" spans="6:9" x14ac:dyDescent="0.25">
      <c r="F29" s="50"/>
      <c r="G29" s="72"/>
      <c r="I29" s="71"/>
    </row>
    <row r="30" spans="6:9" x14ac:dyDescent="0.25">
      <c r="F30" s="50"/>
      <c r="G30" s="72"/>
      <c r="I30" s="71"/>
    </row>
    <row r="31" spans="6:9" x14ac:dyDescent="0.25">
      <c r="F31" s="50"/>
      <c r="G31" s="72"/>
      <c r="I31" s="71"/>
    </row>
    <row r="32" spans="6:9" x14ac:dyDescent="0.25">
      <c r="F32" s="50"/>
      <c r="G32" s="72"/>
      <c r="I32" s="71"/>
    </row>
    <row r="33" spans="6:9" x14ac:dyDescent="0.25">
      <c r="F33" s="50"/>
      <c r="G33" s="72"/>
      <c r="I33" s="71"/>
    </row>
    <row r="34" spans="6:9" x14ac:dyDescent="0.25">
      <c r="F34" s="50"/>
      <c r="G34" s="72"/>
      <c r="I34" s="71"/>
    </row>
    <row r="35" spans="6:9" x14ac:dyDescent="0.25">
      <c r="F35" s="50"/>
      <c r="G35" s="72"/>
      <c r="I35" s="71"/>
    </row>
    <row r="36" spans="6:9" x14ac:dyDescent="0.25">
      <c r="F36" s="50"/>
      <c r="G36" s="72"/>
      <c r="I36" s="71"/>
    </row>
    <row r="37" spans="6:9" x14ac:dyDescent="0.25">
      <c r="F37" s="50"/>
      <c r="G37" s="72"/>
      <c r="I37" s="71"/>
    </row>
    <row r="38" spans="6:9" x14ac:dyDescent="0.25">
      <c r="F38" s="50"/>
      <c r="G38" s="72"/>
      <c r="I38" s="71"/>
    </row>
    <row r="39" spans="6:9" x14ac:dyDescent="0.25">
      <c r="F39" s="50"/>
      <c r="G39" s="72"/>
      <c r="I39" s="71"/>
    </row>
    <row r="40" spans="6:9" x14ac:dyDescent="0.25">
      <c r="F40" s="50"/>
      <c r="G40" s="72"/>
      <c r="I40" s="71"/>
    </row>
    <row r="41" spans="6:9" x14ac:dyDescent="0.25">
      <c r="F41" s="50"/>
      <c r="G41" s="72"/>
      <c r="I41" s="71"/>
    </row>
    <row r="42" spans="6:9" x14ac:dyDescent="0.25">
      <c r="F42" s="50"/>
      <c r="G42" s="72"/>
      <c r="I42" s="71"/>
    </row>
    <row r="43" spans="6:9" x14ac:dyDescent="0.25">
      <c r="F43" s="50"/>
      <c r="G43" s="72"/>
      <c r="I43" s="71"/>
    </row>
    <row r="44" spans="6:9" x14ac:dyDescent="0.25">
      <c r="F44" s="50"/>
      <c r="G44" s="72"/>
      <c r="I44" s="71"/>
    </row>
    <row r="45" spans="6:9" x14ac:dyDescent="0.25">
      <c r="F45" s="50"/>
      <c r="G45" s="72"/>
      <c r="I45" s="71"/>
    </row>
    <row r="46" spans="6:9" x14ac:dyDescent="0.25">
      <c r="F46" s="50"/>
      <c r="G46" s="72"/>
      <c r="I46" s="71"/>
    </row>
    <row r="47" spans="6:9" x14ac:dyDescent="0.25">
      <c r="F47" s="50"/>
      <c r="G47" s="72"/>
      <c r="I47" s="71"/>
    </row>
    <row r="48" spans="6:9" x14ac:dyDescent="0.25">
      <c r="F48" s="50"/>
      <c r="G48" s="72"/>
      <c r="I48" s="71"/>
    </row>
    <row r="49" spans="6:9" x14ac:dyDescent="0.25">
      <c r="F49" s="50"/>
      <c r="G49" s="72"/>
      <c r="I49" s="71"/>
    </row>
    <row r="50" spans="6:9" x14ac:dyDescent="0.25">
      <c r="F50" s="50"/>
      <c r="G50" s="72"/>
      <c r="I50" s="71"/>
    </row>
    <row r="51" spans="6:9" x14ac:dyDescent="0.25">
      <c r="F51" s="50"/>
      <c r="G51" s="72"/>
      <c r="I51" s="71"/>
    </row>
    <row r="52" spans="6:9" x14ac:dyDescent="0.25">
      <c r="F52" s="50"/>
      <c r="G52" s="72"/>
      <c r="I52" s="71"/>
    </row>
    <row r="53" spans="6:9" x14ac:dyDescent="0.25">
      <c r="F53" s="50"/>
      <c r="G53" s="72"/>
      <c r="I53" s="71"/>
    </row>
    <row r="54" spans="6:9" x14ac:dyDescent="0.25">
      <c r="F54" s="50"/>
      <c r="G54" s="72"/>
      <c r="I54" s="71"/>
    </row>
    <row r="55" spans="6:9" x14ac:dyDescent="0.25">
      <c r="F55" s="50"/>
      <c r="G55" s="72"/>
      <c r="I55" s="71"/>
    </row>
    <row r="56" spans="6:9" x14ac:dyDescent="0.25">
      <c r="F56" s="50"/>
      <c r="G56" s="72"/>
      <c r="I56" s="71"/>
    </row>
    <row r="57" spans="6:9" x14ac:dyDescent="0.25">
      <c r="F57" s="50"/>
      <c r="G57" s="72"/>
      <c r="I57" s="71"/>
    </row>
    <row r="58" spans="6:9" x14ac:dyDescent="0.25">
      <c r="F58" s="50"/>
      <c r="G58" s="72"/>
      <c r="I58" s="71"/>
    </row>
    <row r="59" spans="6:9" x14ac:dyDescent="0.25">
      <c r="F59" s="50"/>
      <c r="G59" s="72"/>
      <c r="I59" s="71"/>
    </row>
    <row r="60" spans="6:9" x14ac:dyDescent="0.25">
      <c r="F60" s="50"/>
      <c r="G60" s="72"/>
      <c r="I60" s="71"/>
    </row>
    <row r="61" spans="6:9" x14ac:dyDescent="0.25">
      <c r="F61" s="50"/>
      <c r="G61" s="72"/>
      <c r="I61" s="71"/>
    </row>
    <row r="62" spans="6:9" x14ac:dyDescent="0.25">
      <c r="F62" s="50"/>
      <c r="G62" s="72"/>
      <c r="I62" s="71"/>
    </row>
    <row r="63" spans="6:9" x14ac:dyDescent="0.25">
      <c r="F63" s="50"/>
      <c r="G63" s="72"/>
      <c r="I63" s="71"/>
    </row>
    <row r="64" spans="6:9" x14ac:dyDescent="0.25">
      <c r="F64" s="50"/>
      <c r="G64" s="72"/>
      <c r="I64" s="71"/>
    </row>
    <row r="65" spans="6:9" x14ac:dyDescent="0.25">
      <c r="F65" s="50"/>
      <c r="G65" s="72"/>
      <c r="I65" s="71"/>
    </row>
    <row r="66" spans="6:9" x14ac:dyDescent="0.25">
      <c r="F66" s="50"/>
      <c r="G66" s="72"/>
      <c r="I66" s="71"/>
    </row>
    <row r="67" spans="6:9" x14ac:dyDescent="0.25">
      <c r="F67" s="50"/>
      <c r="G67" s="72"/>
      <c r="I67" s="71"/>
    </row>
    <row r="68" spans="6:9" x14ac:dyDescent="0.25">
      <c r="F68" s="50"/>
      <c r="G68" s="72"/>
      <c r="I68" s="71"/>
    </row>
    <row r="69" spans="6:9" x14ac:dyDescent="0.25">
      <c r="F69" s="50"/>
      <c r="G69" s="72"/>
      <c r="I69" s="71"/>
    </row>
    <row r="70" spans="6:9" x14ac:dyDescent="0.25">
      <c r="F70" s="50"/>
      <c r="G70" s="72"/>
      <c r="I70" s="71"/>
    </row>
    <row r="71" spans="6:9" x14ac:dyDescent="0.25">
      <c r="F71" s="50"/>
      <c r="G71" s="72"/>
      <c r="I71" s="71"/>
    </row>
    <row r="72" spans="6:9" x14ac:dyDescent="0.25">
      <c r="F72" s="50"/>
      <c r="G72" s="72"/>
      <c r="I72" s="71"/>
    </row>
    <row r="73" spans="6:9" x14ac:dyDescent="0.25">
      <c r="F73" s="50"/>
      <c r="G73" s="72"/>
      <c r="I73" s="71"/>
    </row>
    <row r="74" spans="6:9" x14ac:dyDescent="0.25">
      <c r="F74" s="50"/>
      <c r="G74" s="72"/>
      <c r="I74" s="71"/>
    </row>
    <row r="75" spans="6:9" x14ac:dyDescent="0.25">
      <c r="F75" s="50"/>
      <c r="G75" s="72"/>
      <c r="I75" s="71"/>
    </row>
    <row r="76" spans="6:9" x14ac:dyDescent="0.25">
      <c r="F76" s="50"/>
      <c r="G76" s="72"/>
      <c r="I76" s="71"/>
    </row>
    <row r="77" spans="6:9" x14ac:dyDescent="0.25">
      <c r="F77" s="50"/>
      <c r="G77" s="72"/>
      <c r="I77" s="71"/>
    </row>
    <row r="78" spans="6:9" x14ac:dyDescent="0.25">
      <c r="F78" s="50"/>
      <c r="G78" s="72"/>
      <c r="I78" s="71"/>
    </row>
    <row r="79" spans="6:9" x14ac:dyDescent="0.25">
      <c r="F79" s="50"/>
      <c r="G79" s="72"/>
      <c r="I79" s="71"/>
    </row>
    <row r="80" spans="6:9" x14ac:dyDescent="0.25">
      <c r="F80" s="50"/>
      <c r="G80" s="72"/>
      <c r="I80" s="71"/>
    </row>
    <row r="81" spans="6:9" x14ac:dyDescent="0.25">
      <c r="F81" s="50"/>
      <c r="G81" s="72"/>
      <c r="I81" s="71"/>
    </row>
    <row r="82" spans="6:9" x14ac:dyDescent="0.25">
      <c r="F82" s="50"/>
      <c r="G82" s="72"/>
      <c r="I82" s="71"/>
    </row>
    <row r="83" spans="6:9" x14ac:dyDescent="0.25">
      <c r="F83" s="50"/>
      <c r="G83" s="72"/>
      <c r="I83" s="71"/>
    </row>
    <row r="84" spans="6:9" x14ac:dyDescent="0.25">
      <c r="F84" s="50"/>
      <c r="G84" s="72"/>
      <c r="I84" s="71"/>
    </row>
    <row r="85" spans="6:9" x14ac:dyDescent="0.25">
      <c r="F85" s="50"/>
      <c r="G85" s="72"/>
      <c r="I85" s="71"/>
    </row>
    <row r="86" spans="6:9" x14ac:dyDescent="0.25">
      <c r="F86" s="50"/>
      <c r="G86" s="72"/>
      <c r="I86" s="71"/>
    </row>
    <row r="87" spans="6:9" x14ac:dyDescent="0.25">
      <c r="F87" s="50"/>
      <c r="G87" s="72"/>
      <c r="I87" s="71"/>
    </row>
    <row r="88" spans="6:9" x14ac:dyDescent="0.25">
      <c r="F88" s="50"/>
      <c r="G88" s="72"/>
      <c r="I88" s="71"/>
    </row>
    <row r="89" spans="6:9" x14ac:dyDescent="0.25">
      <c r="F89" s="50"/>
      <c r="G89" s="72"/>
      <c r="I89" s="71"/>
    </row>
    <row r="90" spans="6:9" x14ac:dyDescent="0.25">
      <c r="F90" s="50"/>
      <c r="G90" s="72"/>
      <c r="I90" s="71"/>
    </row>
    <row r="91" spans="6:9" x14ac:dyDescent="0.25">
      <c r="F91" s="50"/>
      <c r="G91" s="72"/>
      <c r="I91" s="71"/>
    </row>
    <row r="92" spans="6:9" x14ac:dyDescent="0.25">
      <c r="F92" s="50"/>
      <c r="G92" s="72"/>
      <c r="I92" s="71"/>
    </row>
    <row r="93" spans="6:9" x14ac:dyDescent="0.25">
      <c r="F93" s="50"/>
      <c r="G93" s="72"/>
      <c r="I93" s="71"/>
    </row>
    <row r="94" spans="6:9" x14ac:dyDescent="0.25">
      <c r="F94" s="50"/>
      <c r="G94" s="72"/>
      <c r="I94" s="71"/>
    </row>
    <row r="95" spans="6:9" x14ac:dyDescent="0.25">
      <c r="F95" s="50"/>
      <c r="G95" s="72"/>
      <c r="I95" s="71"/>
    </row>
    <row r="96" spans="6:9" x14ac:dyDescent="0.25">
      <c r="F96" s="50"/>
      <c r="G96" s="72"/>
      <c r="I96" s="71"/>
    </row>
    <row r="97" spans="6:9" x14ac:dyDescent="0.25">
      <c r="F97" s="50"/>
      <c r="G97" s="72"/>
      <c r="I97" s="71"/>
    </row>
    <row r="98" spans="6:9" x14ac:dyDescent="0.25">
      <c r="F98" s="50"/>
      <c r="G98" s="72"/>
      <c r="I98" s="71"/>
    </row>
    <row r="99" spans="6:9" x14ac:dyDescent="0.25">
      <c r="F99" s="50"/>
      <c r="G99" s="72"/>
      <c r="I99" s="71"/>
    </row>
    <row r="100" spans="6:9" x14ac:dyDescent="0.25">
      <c r="F100" s="50"/>
      <c r="G100" s="72"/>
      <c r="I100" s="71"/>
    </row>
    <row r="101" spans="6:9" x14ac:dyDescent="0.25">
      <c r="F101" s="50"/>
      <c r="G101" s="72"/>
      <c r="I101" s="71"/>
    </row>
    <row r="102" spans="6:9" x14ac:dyDescent="0.25">
      <c r="F102" s="50"/>
      <c r="G102" s="72"/>
      <c r="I102" s="71"/>
    </row>
    <row r="103" spans="6:9" x14ac:dyDescent="0.25">
      <c r="F103" s="50"/>
      <c r="G103" s="72"/>
      <c r="I103" s="71"/>
    </row>
    <row r="104" spans="6:9" x14ac:dyDescent="0.25">
      <c r="F104" s="50"/>
      <c r="G104" s="72"/>
      <c r="I104" s="71"/>
    </row>
    <row r="105" spans="6:9" x14ac:dyDescent="0.25">
      <c r="F105" s="50"/>
      <c r="G105" s="72"/>
      <c r="I105" s="71"/>
    </row>
    <row r="106" spans="6:9" x14ac:dyDescent="0.25">
      <c r="F106" s="50"/>
      <c r="G106" s="72"/>
      <c r="I106" s="71"/>
    </row>
    <row r="107" spans="6:9" x14ac:dyDescent="0.25">
      <c r="F107" s="50"/>
      <c r="G107" s="72"/>
      <c r="I107" s="71"/>
    </row>
    <row r="108" spans="6:9" x14ac:dyDescent="0.25">
      <c r="F108" s="50"/>
      <c r="G108" s="72"/>
      <c r="I108" s="71"/>
    </row>
    <row r="109" spans="6:9" x14ac:dyDescent="0.25">
      <c r="F109" s="50"/>
      <c r="G109" s="72"/>
      <c r="I109" s="71"/>
    </row>
    <row r="110" spans="6:9" x14ac:dyDescent="0.25">
      <c r="F110" s="50"/>
      <c r="G110" s="72"/>
      <c r="I110" s="71"/>
    </row>
    <row r="111" spans="6:9" x14ac:dyDescent="0.25">
      <c r="F111" s="50"/>
      <c r="G111" s="72"/>
      <c r="I111" s="71"/>
    </row>
    <row r="112" spans="6:9" x14ac:dyDescent="0.25">
      <c r="F112" s="50"/>
      <c r="G112" s="72"/>
      <c r="I112" s="71"/>
    </row>
    <row r="113" spans="6:9" x14ac:dyDescent="0.25">
      <c r="F113" s="50"/>
      <c r="G113" s="72"/>
      <c r="I113" s="71"/>
    </row>
    <row r="114" spans="6:9" x14ac:dyDescent="0.25">
      <c r="F114" s="50"/>
      <c r="G114" s="72"/>
      <c r="I114" s="71"/>
    </row>
    <row r="115" spans="6:9" x14ac:dyDescent="0.25">
      <c r="F115" s="50"/>
      <c r="G115" s="72"/>
      <c r="I115" s="71"/>
    </row>
    <row r="116" spans="6:9" x14ac:dyDescent="0.25">
      <c r="F116" s="50"/>
      <c r="G116" s="72"/>
      <c r="I116" s="71"/>
    </row>
    <row r="117" spans="6:9" x14ac:dyDescent="0.25">
      <c r="F117" s="50"/>
      <c r="G117" s="72"/>
      <c r="I117" s="71"/>
    </row>
    <row r="118" spans="6:9" x14ac:dyDescent="0.25">
      <c r="F118" s="50"/>
      <c r="G118" s="72"/>
      <c r="I118" s="71"/>
    </row>
    <row r="119" spans="6:9" x14ac:dyDescent="0.25">
      <c r="F119" s="50"/>
      <c r="G119" s="72"/>
      <c r="I119" s="71"/>
    </row>
    <row r="120" spans="6:9" x14ac:dyDescent="0.25">
      <c r="F120" s="50"/>
      <c r="G120" s="72"/>
      <c r="I120" s="71"/>
    </row>
    <row r="121" spans="6:9" x14ac:dyDescent="0.25">
      <c r="F121" s="50"/>
      <c r="G121" s="72"/>
      <c r="I121" s="71"/>
    </row>
    <row r="122" spans="6:9" x14ac:dyDescent="0.25">
      <c r="F122" s="50"/>
      <c r="G122" s="72"/>
      <c r="I122" s="71"/>
    </row>
    <row r="123" spans="6:9" x14ac:dyDescent="0.25">
      <c r="F123" s="50"/>
      <c r="G123" s="72"/>
      <c r="I123" s="71"/>
    </row>
    <row r="124" spans="6:9" x14ac:dyDescent="0.25">
      <c r="F124" s="50"/>
      <c r="G124" s="72"/>
      <c r="I124" s="71"/>
    </row>
    <row r="125" spans="6:9" x14ac:dyDescent="0.25">
      <c r="F125" s="50"/>
      <c r="G125" s="72"/>
      <c r="I125" s="71"/>
    </row>
    <row r="126" spans="6:9" x14ac:dyDescent="0.25">
      <c r="F126" s="50"/>
      <c r="G126" s="72"/>
      <c r="I126" s="71"/>
    </row>
    <row r="127" spans="6:9" x14ac:dyDescent="0.25">
      <c r="F127" s="50"/>
      <c r="G127" s="72"/>
      <c r="I127" s="71"/>
    </row>
    <row r="128" spans="6:9" x14ac:dyDescent="0.25">
      <c r="F128" s="50"/>
      <c r="G128" s="72"/>
      <c r="I128" s="71"/>
    </row>
    <row r="129" spans="6:9" x14ac:dyDescent="0.25">
      <c r="F129" s="50"/>
      <c r="G129" s="72"/>
      <c r="I129" s="71"/>
    </row>
    <row r="130" spans="6:9" x14ac:dyDescent="0.25">
      <c r="F130" s="50"/>
      <c r="G130" s="72"/>
      <c r="I130" s="71"/>
    </row>
    <row r="131" spans="6:9" x14ac:dyDescent="0.25">
      <c r="F131" s="50"/>
      <c r="G131" s="72"/>
      <c r="I131" s="71"/>
    </row>
    <row r="132" spans="6:9" x14ac:dyDescent="0.25">
      <c r="F132" s="50"/>
      <c r="G132" s="72"/>
      <c r="I132" s="71"/>
    </row>
    <row r="133" spans="6:9" x14ac:dyDescent="0.25">
      <c r="F133" s="50"/>
      <c r="G133" s="72"/>
      <c r="I133" s="71"/>
    </row>
    <row r="134" spans="6:9" x14ac:dyDescent="0.25">
      <c r="F134" s="50"/>
      <c r="G134" s="72"/>
      <c r="I134" s="71"/>
    </row>
    <row r="135" spans="6:9" x14ac:dyDescent="0.25">
      <c r="F135" s="50"/>
      <c r="G135" s="72"/>
      <c r="I135" s="71"/>
    </row>
    <row r="136" spans="6:9" x14ac:dyDescent="0.25">
      <c r="F136" s="50"/>
      <c r="G136" s="72"/>
      <c r="I136" s="71"/>
    </row>
    <row r="137" spans="6:9" x14ac:dyDescent="0.25">
      <c r="F137" s="50"/>
      <c r="G137" s="72"/>
      <c r="I137" s="71"/>
    </row>
    <row r="138" spans="6:9" x14ac:dyDescent="0.25">
      <c r="F138" s="50"/>
      <c r="G138" s="72"/>
      <c r="I138" s="71"/>
    </row>
    <row r="139" spans="6:9" x14ac:dyDescent="0.25">
      <c r="F139" s="50"/>
      <c r="G139" s="72"/>
      <c r="I139" s="71"/>
    </row>
    <row r="140" spans="6:9" x14ac:dyDescent="0.25">
      <c r="F140" s="50"/>
      <c r="G140" s="72"/>
      <c r="I140" s="71"/>
    </row>
    <row r="141" spans="6:9" x14ac:dyDescent="0.25">
      <c r="F141" s="50"/>
      <c r="G141" s="72"/>
      <c r="I141" s="71"/>
    </row>
    <row r="142" spans="6:9" x14ac:dyDescent="0.25">
      <c r="F142" s="50"/>
      <c r="G142" s="72"/>
      <c r="I142" s="71"/>
    </row>
    <row r="143" spans="6:9" x14ac:dyDescent="0.25">
      <c r="F143" s="50"/>
      <c r="G143" s="72"/>
      <c r="I143" s="71"/>
    </row>
    <row r="144" spans="6:9" x14ac:dyDescent="0.25">
      <c r="F144" s="50"/>
      <c r="G144" s="72"/>
      <c r="I144" s="71"/>
    </row>
    <row r="145" spans="6:9" x14ac:dyDescent="0.25">
      <c r="F145" s="50"/>
      <c r="G145" s="72"/>
      <c r="I145" s="71"/>
    </row>
    <row r="146" spans="6:9" x14ac:dyDescent="0.25">
      <c r="F146" s="50"/>
      <c r="G146" s="72"/>
      <c r="I146" s="71"/>
    </row>
    <row r="147" spans="6:9" x14ac:dyDescent="0.25">
      <c r="F147" s="50"/>
      <c r="G147" s="72"/>
      <c r="I147" s="71"/>
    </row>
    <row r="148" spans="6:9" x14ac:dyDescent="0.25">
      <c r="F148" s="50"/>
      <c r="G148" s="72"/>
      <c r="I148" s="71"/>
    </row>
    <row r="149" spans="6:9" x14ac:dyDescent="0.25">
      <c r="F149" s="50"/>
      <c r="G149" s="72"/>
      <c r="I149" s="71"/>
    </row>
    <row r="150" spans="6:9" x14ac:dyDescent="0.25">
      <c r="F150" s="50"/>
      <c r="G150" s="72"/>
      <c r="I150" s="71"/>
    </row>
    <row r="151" spans="6:9" x14ac:dyDescent="0.25">
      <c r="F151" s="50"/>
      <c r="G151" s="72"/>
      <c r="I151" s="71"/>
    </row>
    <row r="152" spans="6:9" x14ac:dyDescent="0.25">
      <c r="F152" s="50"/>
      <c r="G152" s="72"/>
      <c r="I152" s="71"/>
    </row>
    <row r="153" spans="6:9" x14ac:dyDescent="0.25">
      <c r="F153" s="50"/>
      <c r="G153" s="72"/>
      <c r="I153" s="71"/>
    </row>
    <row r="154" spans="6:9" x14ac:dyDescent="0.25">
      <c r="F154" s="50"/>
      <c r="G154" s="72"/>
      <c r="I154" s="71"/>
    </row>
    <row r="155" spans="6:9" x14ac:dyDescent="0.25">
      <c r="F155" s="50"/>
      <c r="G155" s="72"/>
      <c r="I155" s="71"/>
    </row>
    <row r="156" spans="6:9" x14ac:dyDescent="0.25">
      <c r="F156" s="50"/>
      <c r="G156" s="72"/>
      <c r="I156" s="71"/>
    </row>
    <row r="157" spans="6:9" x14ac:dyDescent="0.25">
      <c r="F157" s="50"/>
      <c r="G157" s="72"/>
      <c r="I157" s="71"/>
    </row>
    <row r="158" spans="6:9" x14ac:dyDescent="0.25">
      <c r="F158" s="50"/>
      <c r="G158" s="72"/>
      <c r="I158" s="71"/>
    </row>
    <row r="159" spans="6:9" x14ac:dyDescent="0.25">
      <c r="F159" s="50"/>
      <c r="G159" s="72"/>
      <c r="I159" s="71"/>
    </row>
    <row r="160" spans="6:9" x14ac:dyDescent="0.25">
      <c r="F160" s="50"/>
      <c r="G160" s="72"/>
      <c r="I160" s="71"/>
    </row>
    <row r="161" spans="6:9" x14ac:dyDescent="0.25">
      <c r="F161" s="50"/>
      <c r="G161" s="72"/>
      <c r="I161" s="71"/>
    </row>
    <row r="162" spans="6:9" x14ac:dyDescent="0.25">
      <c r="F162" s="50"/>
      <c r="G162" s="72"/>
      <c r="I162" s="71"/>
    </row>
    <row r="163" spans="6:9" x14ac:dyDescent="0.25">
      <c r="F163" s="50"/>
      <c r="G163" s="72"/>
      <c r="I163" s="71"/>
    </row>
    <row r="164" spans="6:9" x14ac:dyDescent="0.25">
      <c r="F164" s="50"/>
      <c r="G164" s="72"/>
      <c r="I164" s="71"/>
    </row>
    <row r="165" spans="6:9" x14ac:dyDescent="0.25">
      <c r="F165" s="50"/>
      <c r="G165" s="72"/>
      <c r="I165" s="71"/>
    </row>
    <row r="166" spans="6:9" x14ac:dyDescent="0.25">
      <c r="F166" s="50"/>
      <c r="G166" s="72"/>
      <c r="I166" s="71"/>
    </row>
    <row r="167" spans="6:9" x14ac:dyDescent="0.25">
      <c r="F167" s="50"/>
      <c r="G167" s="72"/>
      <c r="I167" s="71"/>
    </row>
    <row r="168" spans="6:9" x14ac:dyDescent="0.25">
      <c r="F168" s="50"/>
      <c r="G168" s="72"/>
      <c r="I168" s="71"/>
    </row>
    <row r="169" spans="6:9" x14ac:dyDescent="0.25">
      <c r="F169" s="50"/>
      <c r="G169" s="72"/>
      <c r="I169" s="71"/>
    </row>
    <row r="170" spans="6:9" x14ac:dyDescent="0.25">
      <c r="F170" s="50"/>
      <c r="G170" s="72"/>
      <c r="I170" s="71"/>
    </row>
    <row r="171" spans="6:9" x14ac:dyDescent="0.25">
      <c r="F171" s="50"/>
      <c r="G171" s="72"/>
      <c r="I171" s="71"/>
    </row>
    <row r="172" spans="6:9" x14ac:dyDescent="0.25">
      <c r="F172" s="50"/>
      <c r="G172" s="72"/>
      <c r="I172" s="71"/>
    </row>
    <row r="173" spans="6:9" x14ac:dyDescent="0.25">
      <c r="F173" s="50"/>
      <c r="G173" s="72"/>
      <c r="I173" s="71"/>
    </row>
    <row r="174" spans="6:9" x14ac:dyDescent="0.25">
      <c r="F174" s="50"/>
      <c r="G174" s="72"/>
      <c r="I174" s="71"/>
    </row>
    <row r="175" spans="6:9" x14ac:dyDescent="0.25">
      <c r="F175" s="50"/>
      <c r="G175" s="72"/>
      <c r="I175" s="71"/>
    </row>
    <row r="176" spans="6:9" x14ac:dyDescent="0.25">
      <c r="F176" s="50"/>
      <c r="G176" s="72"/>
      <c r="I176" s="71"/>
    </row>
    <row r="177" spans="6:9" x14ac:dyDescent="0.25">
      <c r="F177" s="50"/>
      <c r="G177" s="72"/>
      <c r="I177" s="71"/>
    </row>
    <row r="178" spans="6:9" x14ac:dyDescent="0.25">
      <c r="F178" s="50"/>
      <c r="G178" s="72"/>
      <c r="I178" s="71"/>
    </row>
    <row r="179" spans="6:9" x14ac:dyDescent="0.25">
      <c r="F179" s="50"/>
      <c r="G179" s="72"/>
      <c r="I179" s="71"/>
    </row>
    <row r="180" spans="6:9" x14ac:dyDescent="0.25">
      <c r="F180" s="50"/>
      <c r="G180" s="72"/>
      <c r="I180" s="71"/>
    </row>
    <row r="181" spans="6:9" x14ac:dyDescent="0.25">
      <c r="F181" s="50"/>
      <c r="G181" s="72"/>
      <c r="I181" s="71"/>
    </row>
    <row r="182" spans="6:9" x14ac:dyDescent="0.25">
      <c r="F182" s="50"/>
      <c r="G182" s="72"/>
      <c r="I182" s="71"/>
    </row>
    <row r="183" spans="6:9" x14ac:dyDescent="0.25">
      <c r="F183" s="50"/>
      <c r="G183" s="72"/>
      <c r="I183" s="71"/>
    </row>
    <row r="184" spans="6:9" x14ac:dyDescent="0.25">
      <c r="F184" s="50"/>
      <c r="G184" s="72"/>
      <c r="I184" s="71"/>
    </row>
    <row r="185" spans="6:9" x14ac:dyDescent="0.25">
      <c r="F185" s="50"/>
      <c r="G185" s="72"/>
      <c r="I185" s="71"/>
    </row>
    <row r="186" spans="6:9" x14ac:dyDescent="0.25">
      <c r="F186" s="50"/>
      <c r="G186" s="72"/>
      <c r="I186" s="71"/>
    </row>
    <row r="187" spans="6:9" x14ac:dyDescent="0.25">
      <c r="F187" s="50"/>
      <c r="G187" s="72"/>
      <c r="I187" s="71"/>
    </row>
    <row r="188" spans="6:9" x14ac:dyDescent="0.25">
      <c r="F188" s="50"/>
      <c r="G188" s="72"/>
      <c r="I188" s="71"/>
    </row>
    <row r="189" spans="6:9" x14ac:dyDescent="0.25">
      <c r="F189" s="50"/>
      <c r="G189" s="72"/>
      <c r="I189" s="71"/>
    </row>
    <row r="190" spans="6:9" x14ac:dyDescent="0.25">
      <c r="F190" s="50"/>
      <c r="G190" s="72"/>
      <c r="I190" s="71"/>
    </row>
    <row r="191" spans="6:9" x14ac:dyDescent="0.25">
      <c r="F191" s="50"/>
      <c r="G191" s="72"/>
      <c r="I191" s="71"/>
    </row>
    <row r="192" spans="6:9" x14ac:dyDescent="0.25">
      <c r="F192" s="50"/>
      <c r="G192" s="72"/>
      <c r="I192" s="71"/>
    </row>
    <row r="193" spans="6:9" x14ac:dyDescent="0.25">
      <c r="F193" s="50"/>
      <c r="G193" s="72"/>
      <c r="I193" s="71"/>
    </row>
    <row r="194" spans="6:9" x14ac:dyDescent="0.25">
      <c r="F194" s="50"/>
      <c r="G194" s="72"/>
      <c r="I194" s="71"/>
    </row>
    <row r="195" spans="6:9" x14ac:dyDescent="0.25">
      <c r="F195" s="50"/>
      <c r="G195" s="72"/>
      <c r="I195" s="71"/>
    </row>
    <row r="196" spans="6:9" x14ac:dyDescent="0.25">
      <c r="F196" s="50"/>
      <c r="G196" s="72"/>
      <c r="I196" s="71"/>
    </row>
    <row r="197" spans="6:9" x14ac:dyDescent="0.25">
      <c r="F197" s="50"/>
      <c r="G197" s="72"/>
      <c r="I197" s="71"/>
    </row>
    <row r="198" spans="6:9" x14ac:dyDescent="0.25">
      <c r="F198" s="50"/>
      <c r="G198" s="72"/>
      <c r="I198" s="71"/>
    </row>
    <row r="199" spans="6:9" x14ac:dyDescent="0.25">
      <c r="F199" s="50"/>
      <c r="G199" s="72"/>
      <c r="I199" s="71"/>
    </row>
    <row r="200" spans="6:9" x14ac:dyDescent="0.25">
      <c r="F200" s="50"/>
      <c r="G200" s="72"/>
      <c r="I200" s="71"/>
    </row>
    <row r="201" spans="6:9" x14ac:dyDescent="0.25">
      <c r="F201" s="50"/>
      <c r="G201" s="72"/>
      <c r="I201" s="71"/>
    </row>
    <row r="202" spans="6:9" x14ac:dyDescent="0.25">
      <c r="F202" s="50"/>
      <c r="G202" s="72"/>
      <c r="I202" s="71"/>
    </row>
    <row r="203" spans="6:9" x14ac:dyDescent="0.25">
      <c r="F203" s="50"/>
      <c r="G203" s="72"/>
      <c r="I203" s="71"/>
    </row>
    <row r="204" spans="6:9" x14ac:dyDescent="0.25">
      <c r="F204" s="50"/>
      <c r="G204" s="72"/>
      <c r="I204" s="71"/>
    </row>
    <row r="205" spans="6:9" x14ac:dyDescent="0.25">
      <c r="F205" s="50"/>
      <c r="G205" s="72"/>
      <c r="I205" s="71"/>
    </row>
    <row r="206" spans="6:9" x14ac:dyDescent="0.25">
      <c r="F206" s="50"/>
      <c r="G206" s="72"/>
      <c r="I206" s="71"/>
    </row>
    <row r="207" spans="6:9" x14ac:dyDescent="0.25">
      <c r="F207" s="50"/>
      <c r="G207" s="72"/>
      <c r="I207" s="71"/>
    </row>
    <row r="208" spans="6:9" x14ac:dyDescent="0.25">
      <c r="F208" s="50"/>
      <c r="G208" s="72"/>
      <c r="I208" s="71"/>
    </row>
    <row r="209" spans="6:9" x14ac:dyDescent="0.25">
      <c r="F209" s="50"/>
      <c r="G209" s="72"/>
      <c r="I209" s="71"/>
    </row>
    <row r="210" spans="6:9" x14ac:dyDescent="0.25">
      <c r="F210" s="50"/>
      <c r="G210" s="72"/>
      <c r="I210" s="71"/>
    </row>
    <row r="211" spans="6:9" x14ac:dyDescent="0.25">
      <c r="F211" s="50"/>
      <c r="G211" s="72"/>
      <c r="I211" s="71"/>
    </row>
    <row r="212" spans="6:9" x14ac:dyDescent="0.25">
      <c r="F212" s="50"/>
      <c r="G212" s="72"/>
      <c r="I212" s="71"/>
    </row>
    <row r="213" spans="6:9" x14ac:dyDescent="0.25">
      <c r="F213" s="50"/>
      <c r="G213" s="72"/>
      <c r="I213" s="71"/>
    </row>
    <row r="214" spans="6:9" x14ac:dyDescent="0.25">
      <c r="F214" s="50"/>
      <c r="G214" s="72"/>
      <c r="I214" s="71"/>
    </row>
    <row r="215" spans="6:9" x14ac:dyDescent="0.25">
      <c r="F215" s="50"/>
      <c r="G215" s="72"/>
      <c r="I215" s="71"/>
    </row>
    <row r="216" spans="6:9" x14ac:dyDescent="0.25">
      <c r="F216" s="50"/>
      <c r="G216" s="72"/>
      <c r="I216" s="71"/>
    </row>
    <row r="217" spans="6:9" x14ac:dyDescent="0.25">
      <c r="F217" s="50"/>
      <c r="G217" s="72"/>
      <c r="I217" s="71"/>
    </row>
    <row r="218" spans="6:9" x14ac:dyDescent="0.25">
      <c r="F218" s="50"/>
      <c r="G218" s="72"/>
      <c r="I218" s="71"/>
    </row>
    <row r="219" spans="6:9" x14ac:dyDescent="0.25">
      <c r="F219" s="50"/>
      <c r="G219" s="72"/>
      <c r="I219" s="71"/>
    </row>
    <row r="220" spans="6:9" x14ac:dyDescent="0.25">
      <c r="F220" s="50"/>
      <c r="G220" s="72"/>
      <c r="I220" s="71"/>
    </row>
    <row r="221" spans="6:9" x14ac:dyDescent="0.25">
      <c r="F221" s="50"/>
      <c r="G221" s="72"/>
      <c r="I221" s="71"/>
    </row>
    <row r="222" spans="6:9" x14ac:dyDescent="0.25">
      <c r="F222" s="50"/>
      <c r="G222" s="72"/>
      <c r="I222" s="71"/>
    </row>
    <row r="223" spans="6:9" x14ac:dyDescent="0.25">
      <c r="F223" s="50"/>
      <c r="G223" s="72"/>
      <c r="I223" s="71"/>
    </row>
    <row r="224" spans="6:9" x14ac:dyDescent="0.25">
      <c r="F224" s="50"/>
      <c r="G224" s="72"/>
      <c r="I224" s="71"/>
    </row>
    <row r="225" spans="6:9" x14ac:dyDescent="0.25">
      <c r="F225" s="50"/>
      <c r="G225" s="72"/>
      <c r="I225" s="71"/>
    </row>
    <row r="226" spans="6:9" x14ac:dyDescent="0.25">
      <c r="F226" s="50"/>
      <c r="G226" s="72"/>
      <c r="I226" s="71"/>
    </row>
    <row r="227" spans="6:9" x14ac:dyDescent="0.25">
      <c r="F227" s="50"/>
      <c r="G227" s="72"/>
      <c r="I227" s="71"/>
    </row>
    <row r="228" spans="6:9" x14ac:dyDescent="0.25">
      <c r="F228" s="50"/>
      <c r="G228" s="72"/>
      <c r="I228" s="71"/>
    </row>
    <row r="229" spans="6:9" x14ac:dyDescent="0.25">
      <c r="F229" s="50"/>
      <c r="G229" s="72"/>
      <c r="I229" s="71"/>
    </row>
    <row r="230" spans="6:9" x14ac:dyDescent="0.25">
      <c r="F230" s="50"/>
      <c r="G230" s="72"/>
      <c r="I230" s="71"/>
    </row>
    <row r="231" spans="6:9" x14ac:dyDescent="0.25">
      <c r="F231" s="50"/>
      <c r="G231" s="72"/>
      <c r="I231" s="71"/>
    </row>
    <row r="232" spans="6:9" x14ac:dyDescent="0.25">
      <c r="F232" s="50"/>
      <c r="G232" s="72"/>
      <c r="I232" s="71"/>
    </row>
    <row r="233" spans="6:9" x14ac:dyDescent="0.25">
      <c r="F233" s="50"/>
      <c r="G233" s="72"/>
      <c r="I233" s="71"/>
    </row>
    <row r="234" spans="6:9" x14ac:dyDescent="0.25">
      <c r="F234" s="50"/>
      <c r="G234" s="72"/>
      <c r="I234" s="71"/>
    </row>
    <row r="235" spans="6:9" x14ac:dyDescent="0.25">
      <c r="F235" s="50"/>
      <c r="G235" s="72"/>
      <c r="I235" s="71"/>
    </row>
    <row r="236" spans="6:9" x14ac:dyDescent="0.25">
      <c r="F236" s="50"/>
      <c r="G236" s="72"/>
      <c r="I236" s="71"/>
    </row>
    <row r="237" spans="6:9" x14ac:dyDescent="0.25">
      <c r="F237" s="50"/>
      <c r="G237" s="72"/>
      <c r="I237" s="71"/>
    </row>
    <row r="238" spans="6:9" x14ac:dyDescent="0.25">
      <c r="F238" s="50"/>
      <c r="G238" s="72"/>
      <c r="I238" s="71"/>
    </row>
    <row r="239" spans="6:9" x14ac:dyDescent="0.25">
      <c r="F239" s="50"/>
      <c r="G239" s="72"/>
      <c r="I239" s="71"/>
    </row>
    <row r="240" spans="6:9" x14ac:dyDescent="0.25">
      <c r="F240" s="50"/>
      <c r="G240" s="72"/>
      <c r="I240" s="71"/>
    </row>
    <row r="241" spans="6:9" x14ac:dyDescent="0.25">
      <c r="F241" s="50"/>
      <c r="G241" s="72"/>
      <c r="I241" s="71"/>
    </row>
    <row r="242" spans="6:9" x14ac:dyDescent="0.25">
      <c r="F242" s="50"/>
      <c r="G242" s="72"/>
      <c r="I242" s="71"/>
    </row>
    <row r="243" spans="6:9" x14ac:dyDescent="0.25">
      <c r="F243" s="50"/>
      <c r="G243" s="72"/>
      <c r="I243" s="71"/>
    </row>
    <row r="244" spans="6:9" x14ac:dyDescent="0.25">
      <c r="F244" s="50"/>
      <c r="G244" s="72"/>
      <c r="I244" s="71"/>
    </row>
    <row r="245" spans="6:9" x14ac:dyDescent="0.25">
      <c r="F245" s="50"/>
      <c r="G245" s="72"/>
      <c r="I245" s="71"/>
    </row>
    <row r="246" spans="6:9" x14ac:dyDescent="0.25">
      <c r="F246" s="50"/>
      <c r="G246" s="72"/>
      <c r="I246" s="71"/>
    </row>
    <row r="247" spans="6:9" x14ac:dyDescent="0.25">
      <c r="F247" s="50"/>
      <c r="G247" s="72"/>
      <c r="I247" s="71"/>
    </row>
    <row r="248" spans="6:9" x14ac:dyDescent="0.25">
      <c r="F248" s="50"/>
      <c r="G248" s="72"/>
      <c r="I248" s="71"/>
    </row>
    <row r="249" spans="6:9" x14ac:dyDescent="0.25">
      <c r="F249" s="50"/>
      <c r="G249" s="72"/>
      <c r="I249" s="71"/>
    </row>
    <row r="250" spans="6:9" x14ac:dyDescent="0.25">
      <c r="F250" s="50"/>
      <c r="G250" s="72"/>
      <c r="I250" s="71"/>
    </row>
    <row r="251" spans="6:9" x14ac:dyDescent="0.25">
      <c r="F251" s="50"/>
      <c r="G251" s="72"/>
      <c r="I251" s="71"/>
    </row>
    <row r="252" spans="6:9" x14ac:dyDescent="0.25">
      <c r="F252" s="50"/>
      <c r="G252" s="72"/>
      <c r="I252" s="71"/>
    </row>
    <row r="253" spans="6:9" x14ac:dyDescent="0.25">
      <c r="F253" s="50"/>
      <c r="G253" s="72"/>
      <c r="I253" s="71"/>
    </row>
    <row r="254" spans="6:9" x14ac:dyDescent="0.25">
      <c r="F254" s="50"/>
      <c r="G254" s="72"/>
      <c r="I254" s="71"/>
    </row>
    <row r="255" spans="6:9" x14ac:dyDescent="0.25">
      <c r="F255" s="50"/>
      <c r="G255" s="72"/>
      <c r="I255" s="71"/>
    </row>
    <row r="256" spans="6:9" x14ac:dyDescent="0.25">
      <c r="F256" s="50"/>
      <c r="G256" s="72"/>
      <c r="I256" s="71"/>
    </row>
    <row r="257" spans="6:9" x14ac:dyDescent="0.25">
      <c r="F257" s="50"/>
      <c r="G257" s="72"/>
      <c r="I257" s="71"/>
    </row>
    <row r="258" spans="6:9" x14ac:dyDescent="0.25">
      <c r="F258" s="50"/>
      <c r="G258" s="72"/>
      <c r="I258" s="71"/>
    </row>
    <row r="259" spans="6:9" x14ac:dyDescent="0.25">
      <c r="F259" s="50"/>
      <c r="G259" s="72"/>
      <c r="I259" s="71"/>
    </row>
    <row r="260" spans="6:9" x14ac:dyDescent="0.25">
      <c r="F260" s="50"/>
      <c r="G260" s="72"/>
      <c r="I260" s="71"/>
    </row>
    <row r="261" spans="6:9" x14ac:dyDescent="0.25">
      <c r="F261" s="50"/>
      <c r="G261" s="72"/>
      <c r="I261" s="71"/>
    </row>
    <row r="262" spans="6:9" x14ac:dyDescent="0.25">
      <c r="F262" s="50"/>
      <c r="G262" s="72"/>
      <c r="I262" s="71"/>
    </row>
    <row r="263" spans="6:9" x14ac:dyDescent="0.25">
      <c r="F263" s="50"/>
      <c r="G263" s="72"/>
      <c r="I263" s="71"/>
    </row>
    <row r="264" spans="6:9" x14ac:dyDescent="0.25">
      <c r="F264" s="50"/>
      <c r="G264" s="72"/>
      <c r="I264" s="71"/>
    </row>
    <row r="265" spans="6:9" x14ac:dyDescent="0.25">
      <c r="F265" s="50"/>
      <c r="G265" s="72"/>
      <c r="I265" s="71"/>
    </row>
    <row r="266" spans="6:9" x14ac:dyDescent="0.25">
      <c r="F266" s="50"/>
      <c r="G266" s="72"/>
      <c r="I266" s="71"/>
    </row>
    <row r="267" spans="6:9" x14ac:dyDescent="0.25">
      <c r="F267" s="50"/>
      <c r="G267" s="72"/>
      <c r="I267" s="71"/>
    </row>
    <row r="268" spans="6:9" x14ac:dyDescent="0.25">
      <c r="F268" s="50"/>
      <c r="G268" s="72"/>
      <c r="I268" s="71"/>
    </row>
    <row r="269" spans="6:9" x14ac:dyDescent="0.25">
      <c r="F269" s="50"/>
      <c r="G269" s="72"/>
      <c r="I269" s="71"/>
    </row>
    <row r="270" spans="6:9" x14ac:dyDescent="0.25">
      <c r="F270" s="50"/>
      <c r="G270" s="72"/>
      <c r="I270" s="71"/>
    </row>
    <row r="271" spans="6:9" x14ac:dyDescent="0.25">
      <c r="F271" s="50"/>
      <c r="G271" s="72"/>
      <c r="I271" s="71"/>
    </row>
    <row r="272" spans="6:9" x14ac:dyDescent="0.25">
      <c r="F272" s="50"/>
      <c r="G272" s="72"/>
      <c r="I272" s="71"/>
    </row>
    <row r="273" spans="6:9" x14ac:dyDescent="0.25">
      <c r="F273" s="50"/>
      <c r="G273" s="72"/>
      <c r="I273" s="71"/>
    </row>
    <row r="274" spans="6:9" x14ac:dyDescent="0.25">
      <c r="F274" s="50"/>
      <c r="G274" s="72"/>
      <c r="I274" s="71"/>
    </row>
    <row r="275" spans="6:9" x14ac:dyDescent="0.25">
      <c r="F275" s="50"/>
      <c r="G275" s="72"/>
      <c r="I275" s="71"/>
    </row>
    <row r="276" spans="6:9" x14ac:dyDescent="0.25">
      <c r="F276" s="50"/>
      <c r="G276" s="72"/>
      <c r="I276" s="71"/>
    </row>
    <row r="277" spans="6:9" x14ac:dyDescent="0.25">
      <c r="F277" s="50"/>
      <c r="G277" s="72"/>
      <c r="I277" s="71"/>
    </row>
    <row r="278" spans="6:9" x14ac:dyDescent="0.25">
      <c r="F278" s="50"/>
      <c r="G278" s="72"/>
      <c r="I278" s="71"/>
    </row>
    <row r="279" spans="6:9" x14ac:dyDescent="0.25">
      <c r="F279" s="50"/>
      <c r="G279" s="72"/>
      <c r="I279" s="71"/>
    </row>
    <row r="280" spans="6:9" x14ac:dyDescent="0.25">
      <c r="F280" s="50"/>
      <c r="G280" s="72"/>
      <c r="I280" s="71"/>
    </row>
    <row r="281" spans="6:9" x14ac:dyDescent="0.25">
      <c r="F281" s="50"/>
      <c r="G281" s="72"/>
      <c r="I281" s="71"/>
    </row>
    <row r="282" spans="6:9" x14ac:dyDescent="0.25">
      <c r="F282" s="50"/>
      <c r="G282" s="72"/>
      <c r="I282" s="71"/>
    </row>
    <row r="283" spans="6:9" x14ac:dyDescent="0.25">
      <c r="F283" s="50"/>
      <c r="G283" s="72"/>
      <c r="I283" s="71"/>
    </row>
    <row r="284" spans="6:9" x14ac:dyDescent="0.25">
      <c r="F284" s="50"/>
      <c r="G284" s="72"/>
      <c r="I284" s="71"/>
    </row>
    <row r="285" spans="6:9" x14ac:dyDescent="0.25">
      <c r="F285" s="50"/>
      <c r="G285" s="72"/>
      <c r="I285" s="71"/>
    </row>
    <row r="286" spans="6:9" x14ac:dyDescent="0.25">
      <c r="F286" s="50"/>
      <c r="G286" s="72"/>
      <c r="I286" s="71"/>
    </row>
    <row r="287" spans="6:9" x14ac:dyDescent="0.25">
      <c r="F287" s="50"/>
      <c r="G287" s="72"/>
      <c r="I287" s="71"/>
    </row>
    <row r="288" spans="6:9" x14ac:dyDescent="0.25">
      <c r="F288" s="50"/>
      <c r="G288" s="72"/>
      <c r="I288" s="71"/>
    </row>
    <row r="289" spans="6:9" x14ac:dyDescent="0.25">
      <c r="F289" s="50"/>
      <c r="G289" s="72"/>
      <c r="I289" s="71"/>
    </row>
    <row r="290" spans="6:9" x14ac:dyDescent="0.25">
      <c r="F290" s="50"/>
      <c r="G290" s="72"/>
      <c r="I290" s="71"/>
    </row>
    <row r="291" spans="6:9" x14ac:dyDescent="0.25">
      <c r="F291" s="50"/>
      <c r="G291" s="72"/>
      <c r="I291" s="71"/>
    </row>
    <row r="292" spans="6:9" x14ac:dyDescent="0.25">
      <c r="F292" s="50"/>
      <c r="G292" s="72"/>
      <c r="I292" s="71"/>
    </row>
    <row r="293" spans="6:9" x14ac:dyDescent="0.25">
      <c r="F293" s="50"/>
      <c r="G293" s="72"/>
      <c r="I293" s="71"/>
    </row>
    <row r="294" spans="6:9" x14ac:dyDescent="0.25">
      <c r="F294" s="50"/>
      <c r="G294" s="72"/>
      <c r="I294" s="71"/>
    </row>
    <row r="295" spans="6:9" x14ac:dyDescent="0.25">
      <c r="F295" s="50"/>
      <c r="G295" s="72"/>
      <c r="I295" s="71"/>
    </row>
    <row r="296" spans="6:9" x14ac:dyDescent="0.25">
      <c r="F296" s="50"/>
      <c r="G296" s="72"/>
      <c r="I296" s="71"/>
    </row>
    <row r="297" spans="6:9" x14ac:dyDescent="0.25">
      <c r="F297" s="50"/>
      <c r="G297" s="72"/>
      <c r="I297" s="71"/>
    </row>
    <row r="298" spans="6:9" x14ac:dyDescent="0.25">
      <c r="F298" s="50"/>
      <c r="G298" s="72"/>
      <c r="I298" s="71"/>
    </row>
    <row r="299" spans="6:9" x14ac:dyDescent="0.25">
      <c r="F299" s="50"/>
      <c r="G299" s="72"/>
      <c r="I299" s="71"/>
    </row>
    <row r="300" spans="6:9" x14ac:dyDescent="0.25">
      <c r="F300" s="50"/>
      <c r="G300" s="72"/>
      <c r="I300" s="71"/>
    </row>
    <row r="301" spans="6:9" x14ac:dyDescent="0.25">
      <c r="F301" s="50"/>
      <c r="G301" s="72"/>
      <c r="I301" s="71"/>
    </row>
    <row r="302" spans="6:9" x14ac:dyDescent="0.25">
      <c r="F302" s="50"/>
      <c r="G302" s="72"/>
      <c r="I302" s="71"/>
    </row>
    <row r="303" spans="6:9" x14ac:dyDescent="0.25">
      <c r="F303" s="50"/>
      <c r="G303" s="72"/>
      <c r="I303" s="71"/>
    </row>
    <row r="304" spans="6:9" x14ac:dyDescent="0.25">
      <c r="F304" s="50"/>
      <c r="G304" s="72"/>
      <c r="I304" s="71"/>
    </row>
    <row r="305" spans="6:9" x14ac:dyDescent="0.25">
      <c r="F305" s="50"/>
      <c r="G305" s="72"/>
      <c r="I305" s="71"/>
    </row>
    <row r="306" spans="6:9" x14ac:dyDescent="0.25">
      <c r="F306" s="50"/>
      <c r="G306" s="72"/>
      <c r="I306" s="71"/>
    </row>
    <row r="307" spans="6:9" x14ac:dyDescent="0.25">
      <c r="F307" s="50"/>
      <c r="G307" s="72"/>
      <c r="I307" s="71"/>
    </row>
    <row r="308" spans="6:9" x14ac:dyDescent="0.25">
      <c r="F308" s="50"/>
      <c r="G308" s="72"/>
      <c r="I308" s="71"/>
    </row>
    <row r="309" spans="6:9" x14ac:dyDescent="0.25">
      <c r="F309" s="50"/>
      <c r="G309" s="72"/>
      <c r="I309" s="71"/>
    </row>
    <row r="310" spans="6:9" x14ac:dyDescent="0.25">
      <c r="F310" s="50"/>
      <c r="G310" s="72"/>
      <c r="I310" s="71"/>
    </row>
    <row r="311" spans="6:9" x14ac:dyDescent="0.25">
      <c r="F311" s="50"/>
      <c r="G311" s="72"/>
      <c r="I311" s="71"/>
    </row>
    <row r="312" spans="6:9" x14ac:dyDescent="0.25">
      <c r="F312" s="50"/>
      <c r="G312" s="72"/>
      <c r="I312" s="71"/>
    </row>
    <row r="313" spans="6:9" x14ac:dyDescent="0.25">
      <c r="F313" s="50"/>
      <c r="G313" s="72"/>
      <c r="I313" s="71"/>
    </row>
    <row r="314" spans="6:9" x14ac:dyDescent="0.25">
      <c r="F314" s="50"/>
      <c r="G314" s="72"/>
      <c r="I314" s="71"/>
    </row>
    <row r="315" spans="6:9" x14ac:dyDescent="0.25">
      <c r="F315" s="50"/>
      <c r="G315" s="72"/>
      <c r="I315" s="71"/>
    </row>
    <row r="316" spans="6:9" x14ac:dyDescent="0.25">
      <c r="F316" s="50"/>
      <c r="G316" s="72"/>
      <c r="I316" s="71"/>
    </row>
    <row r="317" spans="6:9" x14ac:dyDescent="0.25">
      <c r="F317" s="50"/>
      <c r="G317" s="72"/>
      <c r="I317" s="71"/>
    </row>
    <row r="318" spans="6:9" x14ac:dyDescent="0.25">
      <c r="F318" s="50"/>
      <c r="G318" s="72"/>
      <c r="I318" s="71"/>
    </row>
    <row r="319" spans="6:9" x14ac:dyDescent="0.25">
      <c r="F319" s="50"/>
      <c r="G319" s="72"/>
      <c r="I319" s="71"/>
    </row>
    <row r="320" spans="6:9" x14ac:dyDescent="0.25">
      <c r="F320" s="50"/>
      <c r="G320" s="72"/>
      <c r="I320" s="71"/>
    </row>
    <row r="321" spans="6:9" x14ac:dyDescent="0.25">
      <c r="F321" s="50"/>
      <c r="G321" s="72"/>
      <c r="I321" s="71"/>
    </row>
    <row r="322" spans="6:9" x14ac:dyDescent="0.25">
      <c r="F322" s="50"/>
      <c r="G322" s="72"/>
      <c r="I322" s="71"/>
    </row>
    <row r="323" spans="6:9" x14ac:dyDescent="0.25">
      <c r="F323" s="50"/>
      <c r="G323" s="72"/>
      <c r="I323" s="71"/>
    </row>
    <row r="324" spans="6:9" x14ac:dyDescent="0.25">
      <c r="F324" s="50"/>
      <c r="G324" s="72"/>
      <c r="I324" s="71"/>
    </row>
    <row r="325" spans="6:9" x14ac:dyDescent="0.25">
      <c r="F325" s="50"/>
      <c r="G325" s="72"/>
      <c r="I325" s="71"/>
    </row>
    <row r="326" spans="6:9" x14ac:dyDescent="0.25">
      <c r="F326" s="50"/>
      <c r="G326" s="72"/>
      <c r="I326" s="71"/>
    </row>
    <row r="327" spans="6:9" x14ac:dyDescent="0.25">
      <c r="F327" s="50"/>
      <c r="G327" s="72"/>
      <c r="I327" s="71"/>
    </row>
    <row r="328" spans="6:9" x14ac:dyDescent="0.25">
      <c r="F328" s="50"/>
      <c r="G328" s="72"/>
      <c r="I328" s="71"/>
    </row>
    <row r="329" spans="6:9" x14ac:dyDescent="0.25">
      <c r="F329" s="50"/>
      <c r="G329" s="72"/>
      <c r="I329" s="71"/>
    </row>
    <row r="330" spans="6:9" x14ac:dyDescent="0.25">
      <c r="F330" s="50"/>
      <c r="G330" s="72"/>
      <c r="I330" s="71"/>
    </row>
    <row r="331" spans="6:9" x14ac:dyDescent="0.25">
      <c r="F331" s="50"/>
      <c r="G331" s="72"/>
      <c r="I331" s="71"/>
    </row>
    <row r="332" spans="6:9" x14ac:dyDescent="0.25">
      <c r="F332" s="50"/>
      <c r="G332" s="72"/>
      <c r="I332" s="71"/>
    </row>
    <row r="333" spans="6:9" x14ac:dyDescent="0.25">
      <c r="F333" s="50"/>
      <c r="G333" s="72"/>
      <c r="I333" s="71"/>
    </row>
    <row r="334" spans="6:9" x14ac:dyDescent="0.25">
      <c r="F334" s="50"/>
      <c r="G334" s="72"/>
      <c r="I334" s="71"/>
    </row>
    <row r="335" spans="6:9" x14ac:dyDescent="0.25">
      <c r="F335" s="50"/>
      <c r="G335" s="72"/>
      <c r="I335" s="71"/>
    </row>
    <row r="336" spans="6:9" x14ac:dyDescent="0.25">
      <c r="F336" s="50"/>
      <c r="G336" s="72"/>
      <c r="I336" s="71"/>
    </row>
    <row r="337" spans="6:9" x14ac:dyDescent="0.25">
      <c r="F337" s="50"/>
      <c r="G337" s="72"/>
      <c r="I337" s="71"/>
    </row>
    <row r="338" spans="6:9" x14ac:dyDescent="0.25">
      <c r="F338" s="50"/>
      <c r="G338" s="72"/>
      <c r="I338" s="71"/>
    </row>
    <row r="339" spans="6:9" x14ac:dyDescent="0.25">
      <c r="F339" s="50"/>
      <c r="G339" s="72"/>
      <c r="I339" s="71"/>
    </row>
    <row r="340" spans="6:9" x14ac:dyDescent="0.25">
      <c r="F340" s="50"/>
      <c r="G340" s="72"/>
      <c r="I340" s="71"/>
    </row>
    <row r="341" spans="6:9" x14ac:dyDescent="0.25">
      <c r="F341" s="50"/>
      <c r="G341" s="72"/>
      <c r="I341" s="71"/>
    </row>
    <row r="342" spans="6:9" x14ac:dyDescent="0.25">
      <c r="F342" s="50"/>
      <c r="G342" s="72"/>
      <c r="I342" s="71"/>
    </row>
    <row r="343" spans="6:9" x14ac:dyDescent="0.25">
      <c r="F343" s="50"/>
      <c r="G343" s="72"/>
      <c r="I343" s="71"/>
    </row>
    <row r="344" spans="6:9" x14ac:dyDescent="0.25">
      <c r="F344" s="50"/>
      <c r="G344" s="72"/>
      <c r="I344" s="71"/>
    </row>
    <row r="345" spans="6:9" x14ac:dyDescent="0.25">
      <c r="F345" s="50"/>
      <c r="G345" s="72"/>
      <c r="I345" s="71"/>
    </row>
    <row r="346" spans="6:9" x14ac:dyDescent="0.25">
      <c r="F346" s="50"/>
      <c r="G346" s="72"/>
      <c r="I346" s="71"/>
    </row>
    <row r="347" spans="6:9" x14ac:dyDescent="0.25">
      <c r="F347" s="50"/>
      <c r="G347" s="72"/>
      <c r="I347" s="71"/>
    </row>
    <row r="348" spans="6:9" x14ac:dyDescent="0.25">
      <c r="F348" s="50"/>
      <c r="G348" s="72"/>
      <c r="I348" s="71"/>
    </row>
    <row r="349" spans="6:9" x14ac:dyDescent="0.25">
      <c r="F349" s="50"/>
      <c r="G349" s="72"/>
      <c r="I349" s="71"/>
    </row>
    <row r="350" spans="6:9" x14ac:dyDescent="0.25">
      <c r="F350" s="50"/>
      <c r="G350" s="72"/>
      <c r="I350" s="71"/>
    </row>
    <row r="351" spans="6:9" x14ac:dyDescent="0.25">
      <c r="F351" s="50"/>
      <c r="G351" s="72"/>
      <c r="I351" s="71"/>
    </row>
    <row r="352" spans="6:9" x14ac:dyDescent="0.25">
      <c r="F352" s="50"/>
      <c r="G352" s="72"/>
      <c r="I352" s="71"/>
    </row>
    <row r="353" spans="6:9" x14ac:dyDescent="0.25">
      <c r="F353" s="50"/>
      <c r="G353" s="72"/>
      <c r="I353" s="71"/>
    </row>
    <row r="354" spans="6:9" x14ac:dyDescent="0.25">
      <c r="F354" s="50"/>
      <c r="G354" s="72"/>
      <c r="I354" s="71"/>
    </row>
    <row r="355" spans="6:9" x14ac:dyDescent="0.25">
      <c r="F355" s="50"/>
      <c r="G355" s="72"/>
      <c r="I355" s="71"/>
    </row>
    <row r="356" spans="6:9" x14ac:dyDescent="0.25">
      <c r="F356" s="50"/>
      <c r="G356" s="72"/>
      <c r="I356" s="71"/>
    </row>
    <row r="357" spans="6:9" x14ac:dyDescent="0.25">
      <c r="F357" s="50"/>
      <c r="G357" s="72"/>
      <c r="I357" s="71"/>
    </row>
    <row r="358" spans="6:9" x14ac:dyDescent="0.25">
      <c r="F358" s="50"/>
      <c r="G358" s="72"/>
      <c r="I358" s="71"/>
    </row>
    <row r="359" spans="6:9" x14ac:dyDescent="0.25">
      <c r="F359" s="50"/>
      <c r="G359" s="72"/>
      <c r="I359" s="71"/>
    </row>
    <row r="360" spans="6:9" x14ac:dyDescent="0.25">
      <c r="F360" s="50"/>
      <c r="G360" s="72"/>
      <c r="I360" s="71"/>
    </row>
    <row r="361" spans="6:9" x14ac:dyDescent="0.25">
      <c r="F361" s="50"/>
      <c r="G361" s="72"/>
      <c r="I361" s="71"/>
    </row>
    <row r="362" spans="6:9" x14ac:dyDescent="0.25">
      <c r="F362" s="50"/>
      <c r="G362" s="72"/>
      <c r="I362" s="71"/>
    </row>
    <row r="363" spans="6:9" x14ac:dyDescent="0.25">
      <c r="F363" s="50"/>
      <c r="G363" s="72"/>
      <c r="I363" s="71"/>
    </row>
    <row r="364" spans="6:9" x14ac:dyDescent="0.25">
      <c r="F364" s="50"/>
      <c r="G364" s="72"/>
      <c r="I364" s="71"/>
    </row>
    <row r="365" spans="6:9" x14ac:dyDescent="0.25">
      <c r="F365" s="50"/>
      <c r="G365" s="72"/>
      <c r="I365" s="71"/>
    </row>
    <row r="366" spans="6:9" x14ac:dyDescent="0.25">
      <c r="F366" s="50"/>
      <c r="G366" s="72"/>
      <c r="I366" s="71"/>
    </row>
    <row r="367" spans="6:9" x14ac:dyDescent="0.25">
      <c r="F367" s="50"/>
      <c r="G367" s="72"/>
      <c r="I367" s="71"/>
    </row>
    <row r="368" spans="6:9" x14ac:dyDescent="0.25">
      <c r="F368" s="50"/>
      <c r="G368" s="72"/>
      <c r="I368" s="71"/>
    </row>
    <row r="369" spans="6:9" x14ac:dyDescent="0.25">
      <c r="F369" s="50"/>
      <c r="G369" s="72"/>
      <c r="I369" s="71"/>
    </row>
    <row r="370" spans="6:9" x14ac:dyDescent="0.25">
      <c r="F370" s="50"/>
      <c r="G370" s="72"/>
      <c r="I370" s="71"/>
    </row>
    <row r="371" spans="6:9" x14ac:dyDescent="0.25">
      <c r="F371" s="50"/>
      <c r="G371" s="72"/>
      <c r="I371" s="71"/>
    </row>
    <row r="372" spans="6:9" x14ac:dyDescent="0.25">
      <c r="F372" s="50"/>
      <c r="G372" s="72"/>
      <c r="I372" s="71"/>
    </row>
    <row r="373" spans="6:9" x14ac:dyDescent="0.25">
      <c r="F373" s="50"/>
      <c r="G373" s="72"/>
      <c r="I373" s="71"/>
    </row>
    <row r="374" spans="6:9" x14ac:dyDescent="0.25">
      <c r="F374" s="50"/>
      <c r="G374" s="72"/>
      <c r="I374" s="71"/>
    </row>
    <row r="375" spans="6:9" x14ac:dyDescent="0.25">
      <c r="F375" s="50"/>
      <c r="G375" s="72"/>
      <c r="I375" s="71"/>
    </row>
    <row r="376" spans="6:9" x14ac:dyDescent="0.25">
      <c r="F376" s="50"/>
      <c r="G376" s="72"/>
      <c r="I376" s="71"/>
    </row>
    <row r="377" spans="6:9" x14ac:dyDescent="0.25">
      <c r="F377" s="50"/>
      <c r="G377" s="72"/>
      <c r="I377" s="71"/>
    </row>
    <row r="378" spans="6:9" x14ac:dyDescent="0.25">
      <c r="F378" s="50"/>
      <c r="G378" s="72"/>
      <c r="I378" s="71"/>
    </row>
    <row r="379" spans="6:9" x14ac:dyDescent="0.25">
      <c r="F379" s="50"/>
      <c r="G379" s="72"/>
      <c r="I379" s="71"/>
    </row>
    <row r="380" spans="6:9" x14ac:dyDescent="0.25">
      <c r="F380" s="50"/>
      <c r="G380" s="72"/>
      <c r="I380" s="71"/>
    </row>
    <row r="381" spans="6:9" x14ac:dyDescent="0.25">
      <c r="F381" s="50"/>
      <c r="G381" s="72"/>
      <c r="I381" s="71"/>
    </row>
    <row r="382" spans="6:9" x14ac:dyDescent="0.25">
      <c r="F382" s="50"/>
      <c r="G382" s="72"/>
      <c r="I382" s="71"/>
    </row>
    <row r="383" spans="6:9" x14ac:dyDescent="0.25">
      <c r="F383" s="50"/>
      <c r="G383" s="72"/>
      <c r="I383" s="71"/>
    </row>
    <row r="384" spans="6:9" x14ac:dyDescent="0.25">
      <c r="F384" s="50"/>
      <c r="G384" s="72"/>
      <c r="I384" s="71"/>
    </row>
    <row r="385" spans="6:9" x14ac:dyDescent="0.25">
      <c r="F385" s="50"/>
      <c r="G385" s="72"/>
      <c r="I385" s="71"/>
    </row>
    <row r="386" spans="6:9" x14ac:dyDescent="0.25">
      <c r="F386" s="50"/>
      <c r="G386" s="72"/>
      <c r="I386" s="71"/>
    </row>
    <row r="387" spans="6:9" x14ac:dyDescent="0.25">
      <c r="F387" s="50"/>
      <c r="G387" s="72"/>
      <c r="I387" s="71"/>
    </row>
    <row r="388" spans="6:9" x14ac:dyDescent="0.25">
      <c r="F388" s="50"/>
      <c r="G388" s="72"/>
      <c r="I388" s="71"/>
    </row>
    <row r="389" spans="6:9" x14ac:dyDescent="0.25">
      <c r="F389" s="50"/>
      <c r="G389" s="72"/>
      <c r="I389" s="71"/>
    </row>
    <row r="390" spans="6:9" x14ac:dyDescent="0.25">
      <c r="F390" s="50"/>
      <c r="G390" s="72"/>
      <c r="I390" s="71"/>
    </row>
    <row r="391" spans="6:9" x14ac:dyDescent="0.25">
      <c r="F391" s="50"/>
      <c r="G391" s="72"/>
      <c r="I391" s="71"/>
    </row>
    <row r="392" spans="6:9" x14ac:dyDescent="0.25">
      <c r="F392" s="50"/>
      <c r="G392" s="72"/>
      <c r="I392" s="71"/>
    </row>
    <row r="393" spans="6:9" x14ac:dyDescent="0.25">
      <c r="F393" s="50"/>
      <c r="G393" s="72"/>
      <c r="I393" s="71"/>
    </row>
    <row r="394" spans="6:9" x14ac:dyDescent="0.25">
      <c r="F394" s="50"/>
      <c r="G394" s="72"/>
      <c r="I394" s="71"/>
    </row>
    <row r="395" spans="6:9" x14ac:dyDescent="0.25">
      <c r="F395" s="50"/>
      <c r="G395" s="72"/>
      <c r="I395" s="71"/>
    </row>
    <row r="396" spans="6:9" x14ac:dyDescent="0.25">
      <c r="F396" s="50"/>
      <c r="G396" s="72"/>
      <c r="I396" s="71"/>
    </row>
    <row r="397" spans="6:9" x14ac:dyDescent="0.25">
      <c r="F397" s="50"/>
      <c r="G397" s="72"/>
      <c r="I397" s="71"/>
    </row>
    <row r="398" spans="6:9" x14ac:dyDescent="0.25">
      <c r="F398" s="50"/>
      <c r="G398" s="72"/>
      <c r="I398" s="71"/>
    </row>
    <row r="399" spans="6:9" x14ac:dyDescent="0.25">
      <c r="F399" s="50"/>
      <c r="G399" s="72"/>
      <c r="I399" s="71"/>
    </row>
    <row r="400" spans="6:9" x14ac:dyDescent="0.25">
      <c r="F400" s="50"/>
      <c r="G400" s="72"/>
      <c r="I400" s="71"/>
    </row>
    <row r="401" spans="6:9" x14ac:dyDescent="0.25">
      <c r="F401" s="50"/>
      <c r="G401" s="72"/>
      <c r="I401" s="71"/>
    </row>
    <row r="402" spans="6:9" x14ac:dyDescent="0.25">
      <c r="F402" s="50"/>
      <c r="G402" s="72"/>
      <c r="I402" s="71"/>
    </row>
    <row r="403" spans="6:9" x14ac:dyDescent="0.25">
      <c r="F403" s="50"/>
      <c r="G403" s="72"/>
      <c r="I403" s="71"/>
    </row>
    <row r="404" spans="6:9" x14ac:dyDescent="0.25">
      <c r="F404" s="50"/>
      <c r="G404" s="72"/>
      <c r="I404" s="71"/>
    </row>
    <row r="405" spans="6:9" x14ac:dyDescent="0.25">
      <c r="F405" s="50"/>
      <c r="G405" s="72"/>
      <c r="I405" s="71"/>
    </row>
    <row r="406" spans="6:9" x14ac:dyDescent="0.25">
      <c r="F406" s="50"/>
      <c r="G406" s="72"/>
      <c r="I406" s="71"/>
    </row>
    <row r="407" spans="6:9" x14ac:dyDescent="0.25">
      <c r="F407" s="50"/>
      <c r="G407" s="72"/>
      <c r="I407" s="71"/>
    </row>
    <row r="408" spans="6:9" x14ac:dyDescent="0.25">
      <c r="F408" s="50"/>
      <c r="G408" s="72"/>
      <c r="I408" s="71"/>
    </row>
    <row r="409" spans="6:9" x14ac:dyDescent="0.25">
      <c r="F409" s="50"/>
      <c r="G409" s="72"/>
      <c r="I409" s="71"/>
    </row>
    <row r="410" spans="6:9" x14ac:dyDescent="0.25">
      <c r="F410" s="50"/>
      <c r="G410" s="72"/>
      <c r="I410" s="71"/>
    </row>
    <row r="411" spans="6:9" x14ac:dyDescent="0.25">
      <c r="F411" s="50"/>
      <c r="G411" s="72"/>
      <c r="I411" s="71"/>
    </row>
    <row r="412" spans="6:9" x14ac:dyDescent="0.25">
      <c r="F412" s="50"/>
      <c r="G412" s="72"/>
      <c r="I412" s="71"/>
    </row>
    <row r="413" spans="6:9" x14ac:dyDescent="0.25">
      <c r="F413" s="50"/>
      <c r="G413" s="72"/>
      <c r="I413" s="71"/>
    </row>
    <row r="414" spans="6:9" x14ac:dyDescent="0.25">
      <c r="F414" s="50"/>
      <c r="G414" s="72"/>
      <c r="I414" s="71"/>
    </row>
    <row r="415" spans="6:9" x14ac:dyDescent="0.25">
      <c r="F415" s="50"/>
      <c r="G415" s="72"/>
      <c r="I415" s="71"/>
    </row>
    <row r="416" spans="6:9" x14ac:dyDescent="0.25">
      <c r="F416" s="50"/>
      <c r="G416" s="72"/>
      <c r="I416" s="71"/>
    </row>
    <row r="417" spans="6:9" x14ac:dyDescent="0.25">
      <c r="F417" s="50"/>
      <c r="G417" s="72"/>
      <c r="I417" s="71"/>
    </row>
    <row r="418" spans="6:9" x14ac:dyDescent="0.25">
      <c r="F418" s="50"/>
      <c r="G418" s="72"/>
      <c r="I418" s="71"/>
    </row>
    <row r="419" spans="6:9" x14ac:dyDescent="0.25">
      <c r="F419" s="50"/>
      <c r="G419" s="72"/>
      <c r="I419" s="71"/>
    </row>
    <row r="420" spans="6:9" x14ac:dyDescent="0.25">
      <c r="F420" s="50"/>
      <c r="G420" s="72"/>
      <c r="I420" s="71"/>
    </row>
    <row r="421" spans="6:9" x14ac:dyDescent="0.25">
      <c r="F421" s="50"/>
      <c r="G421" s="72"/>
      <c r="I421" s="71"/>
    </row>
    <row r="422" spans="6:9" x14ac:dyDescent="0.25">
      <c r="F422" s="50"/>
      <c r="G422" s="72"/>
      <c r="I422" s="71"/>
    </row>
    <row r="423" spans="6:9" x14ac:dyDescent="0.25">
      <c r="F423" s="50"/>
      <c r="G423" s="72"/>
      <c r="I423" s="71"/>
    </row>
    <row r="424" spans="6:9" x14ac:dyDescent="0.25">
      <c r="F424" s="50"/>
      <c r="G424" s="72"/>
      <c r="I424" s="71"/>
    </row>
    <row r="425" spans="6:9" x14ac:dyDescent="0.25">
      <c r="F425" s="50"/>
      <c r="G425" s="72"/>
      <c r="I425" s="71"/>
    </row>
    <row r="426" spans="6:9" x14ac:dyDescent="0.25">
      <c r="F426" s="50"/>
      <c r="G426" s="72"/>
      <c r="I426" s="71"/>
    </row>
    <row r="427" spans="6:9" x14ac:dyDescent="0.25">
      <c r="F427" s="50"/>
      <c r="G427" s="72"/>
      <c r="I427" s="71"/>
    </row>
    <row r="428" spans="6:9" x14ac:dyDescent="0.25">
      <c r="F428" s="50"/>
      <c r="G428" s="72"/>
      <c r="I428" s="71"/>
    </row>
    <row r="429" spans="6:9" x14ac:dyDescent="0.25">
      <c r="F429" s="50"/>
      <c r="G429" s="72"/>
      <c r="I429" s="71"/>
    </row>
    <row r="430" spans="6:9" x14ac:dyDescent="0.25">
      <c r="F430" s="50"/>
      <c r="G430" s="72"/>
      <c r="I430" s="71"/>
    </row>
    <row r="431" spans="6:9" x14ac:dyDescent="0.25">
      <c r="F431" s="50"/>
      <c r="G431" s="72"/>
      <c r="I431" s="71"/>
    </row>
    <row r="432" spans="6:9" x14ac:dyDescent="0.25">
      <c r="F432" s="50"/>
      <c r="G432" s="72"/>
      <c r="I432" s="71"/>
    </row>
    <row r="433" spans="6:9" x14ac:dyDescent="0.25">
      <c r="F433" s="50"/>
      <c r="G433" s="72"/>
      <c r="I433" s="71"/>
    </row>
    <row r="434" spans="6:9" x14ac:dyDescent="0.25">
      <c r="F434" s="50"/>
      <c r="G434" s="72"/>
      <c r="I434" s="71"/>
    </row>
    <row r="435" spans="6:9" x14ac:dyDescent="0.25">
      <c r="F435" s="50"/>
      <c r="G435" s="72"/>
      <c r="I435" s="71"/>
    </row>
    <row r="436" spans="6:9" x14ac:dyDescent="0.25">
      <c r="F436" s="50"/>
      <c r="G436" s="72"/>
      <c r="I436" s="71"/>
    </row>
    <row r="437" spans="6:9" x14ac:dyDescent="0.25">
      <c r="F437" s="50"/>
      <c r="G437" s="72"/>
      <c r="I437" s="71"/>
    </row>
    <row r="438" spans="6:9" x14ac:dyDescent="0.25">
      <c r="F438" s="50"/>
      <c r="G438" s="72"/>
      <c r="I438" s="71"/>
    </row>
    <row r="439" spans="6:9" x14ac:dyDescent="0.25">
      <c r="F439" s="50"/>
      <c r="G439" s="72"/>
      <c r="I439" s="71"/>
    </row>
    <row r="440" spans="6:9" x14ac:dyDescent="0.25">
      <c r="F440" s="50"/>
      <c r="G440" s="72"/>
      <c r="I440" s="71"/>
    </row>
    <row r="441" spans="6:9" x14ac:dyDescent="0.25">
      <c r="F441" s="50"/>
      <c r="G441" s="72"/>
      <c r="I441" s="71"/>
    </row>
    <row r="442" spans="6:9" x14ac:dyDescent="0.25">
      <c r="F442" s="50"/>
      <c r="G442" s="72"/>
      <c r="I442" s="71"/>
    </row>
    <row r="443" spans="6:9" x14ac:dyDescent="0.25">
      <c r="F443" s="50"/>
      <c r="G443" s="72"/>
      <c r="I443" s="71"/>
    </row>
    <row r="444" spans="6:9" x14ac:dyDescent="0.25">
      <c r="F444" s="50"/>
      <c r="G444" s="72"/>
      <c r="I444" s="71"/>
    </row>
    <row r="445" spans="6:9" x14ac:dyDescent="0.25">
      <c r="F445" s="50"/>
      <c r="G445" s="72"/>
      <c r="I445" s="71"/>
    </row>
    <row r="446" spans="6:9" x14ac:dyDescent="0.25">
      <c r="F446" s="50"/>
      <c r="G446" s="72"/>
      <c r="I446" s="71"/>
    </row>
    <row r="447" spans="6:9" x14ac:dyDescent="0.25">
      <c r="F447" s="50"/>
      <c r="G447" s="72"/>
      <c r="I447" s="71"/>
    </row>
    <row r="448" spans="6:9" x14ac:dyDescent="0.25">
      <c r="F448" s="50"/>
      <c r="G448" s="72"/>
      <c r="I448" s="71"/>
    </row>
    <row r="449" spans="6:9" x14ac:dyDescent="0.25">
      <c r="F449" s="50"/>
      <c r="G449" s="72"/>
      <c r="I449" s="71"/>
    </row>
    <row r="450" spans="6:9" x14ac:dyDescent="0.25">
      <c r="F450" s="50"/>
      <c r="G450" s="72"/>
      <c r="I450" s="71"/>
    </row>
    <row r="451" spans="6:9" x14ac:dyDescent="0.25">
      <c r="F451" s="50"/>
      <c r="G451" s="72"/>
      <c r="I451" s="71"/>
    </row>
    <row r="452" spans="6:9" x14ac:dyDescent="0.25">
      <c r="F452" s="50"/>
      <c r="G452" s="72"/>
      <c r="I452" s="71"/>
    </row>
    <row r="453" spans="6:9" x14ac:dyDescent="0.25">
      <c r="F453" s="50"/>
      <c r="G453" s="72"/>
      <c r="I453" s="71"/>
    </row>
    <row r="454" spans="6:9" x14ac:dyDescent="0.25">
      <c r="F454" s="50"/>
      <c r="G454" s="72"/>
      <c r="I454" s="71"/>
    </row>
    <row r="455" spans="6:9" x14ac:dyDescent="0.25">
      <c r="F455" s="50"/>
      <c r="G455" s="72"/>
      <c r="I455" s="71"/>
    </row>
    <row r="456" spans="6:9" x14ac:dyDescent="0.25">
      <c r="F456" s="50"/>
      <c r="G456" s="72"/>
      <c r="I456" s="71"/>
    </row>
    <row r="457" spans="6:9" x14ac:dyDescent="0.25">
      <c r="F457" s="50"/>
      <c r="G457" s="72"/>
      <c r="I457" s="71"/>
    </row>
    <row r="458" spans="6:9" x14ac:dyDescent="0.25">
      <c r="F458" s="50"/>
      <c r="G458" s="72"/>
      <c r="I458" s="71"/>
    </row>
    <row r="459" spans="6:9" x14ac:dyDescent="0.25">
      <c r="F459" s="50"/>
      <c r="G459" s="72"/>
      <c r="I459" s="71"/>
    </row>
    <row r="460" spans="6:9" x14ac:dyDescent="0.25">
      <c r="F460" s="50"/>
      <c r="G460" s="72"/>
      <c r="I460" s="71"/>
    </row>
    <row r="461" spans="6:9" x14ac:dyDescent="0.25">
      <c r="F461" s="50"/>
      <c r="G461" s="72"/>
      <c r="I461" s="71"/>
    </row>
    <row r="462" spans="6:9" x14ac:dyDescent="0.25">
      <c r="F462" s="50"/>
      <c r="G462" s="72"/>
      <c r="I462" s="71"/>
    </row>
    <row r="463" spans="6:9" x14ac:dyDescent="0.25">
      <c r="F463" s="50"/>
      <c r="G463" s="72"/>
      <c r="I463" s="71"/>
    </row>
    <row r="464" spans="6:9" x14ac:dyDescent="0.25">
      <c r="F464" s="50"/>
      <c r="G464" s="72"/>
      <c r="I464" s="71"/>
    </row>
    <row r="465" spans="6:9" x14ac:dyDescent="0.25">
      <c r="F465" s="50"/>
      <c r="G465" s="72"/>
      <c r="I465" s="71"/>
    </row>
    <row r="466" spans="6:9" x14ac:dyDescent="0.25">
      <c r="F466" s="50"/>
      <c r="G466" s="72"/>
      <c r="I466" s="71"/>
    </row>
    <row r="467" spans="6:9" x14ac:dyDescent="0.25">
      <c r="F467" s="50"/>
      <c r="G467" s="72"/>
      <c r="I467" s="71"/>
    </row>
    <row r="468" spans="6:9" x14ac:dyDescent="0.25">
      <c r="F468" s="50"/>
      <c r="G468" s="72"/>
      <c r="I468" s="71"/>
    </row>
    <row r="469" spans="6:9" x14ac:dyDescent="0.25">
      <c r="F469" s="50"/>
      <c r="G469" s="72"/>
      <c r="I469" s="71"/>
    </row>
    <row r="470" spans="6:9" x14ac:dyDescent="0.25">
      <c r="F470" s="50"/>
      <c r="G470" s="72"/>
      <c r="I470" s="71"/>
    </row>
    <row r="471" spans="6:9" x14ac:dyDescent="0.25">
      <c r="F471" s="50"/>
      <c r="G471" s="72"/>
      <c r="I471" s="71"/>
    </row>
    <row r="472" spans="6:9" x14ac:dyDescent="0.25">
      <c r="F472" s="50"/>
      <c r="G472" s="72"/>
      <c r="I472" s="71"/>
    </row>
    <row r="473" spans="6:9" x14ac:dyDescent="0.25">
      <c r="F473" s="50"/>
      <c r="G473" s="72"/>
      <c r="I473" s="71"/>
    </row>
    <row r="474" spans="6:9" x14ac:dyDescent="0.25">
      <c r="F474" s="50"/>
      <c r="G474" s="72"/>
      <c r="I474" s="71"/>
    </row>
    <row r="475" spans="6:9" x14ac:dyDescent="0.25">
      <c r="F475" s="50"/>
      <c r="G475" s="72"/>
      <c r="I475" s="71"/>
    </row>
    <row r="476" spans="6:9" x14ac:dyDescent="0.25">
      <c r="F476" s="50"/>
      <c r="G476" s="72"/>
      <c r="I476" s="71"/>
    </row>
    <row r="477" spans="6:9" x14ac:dyDescent="0.25">
      <c r="F477" s="50"/>
      <c r="G477" s="72"/>
      <c r="I477" s="71"/>
    </row>
    <row r="478" spans="6:9" x14ac:dyDescent="0.25">
      <c r="F478" s="50"/>
      <c r="G478" s="72"/>
      <c r="I478" s="71"/>
    </row>
    <row r="479" spans="6:9" x14ac:dyDescent="0.25">
      <c r="F479" s="50"/>
      <c r="G479" s="72"/>
      <c r="I479" s="71"/>
    </row>
    <row r="480" spans="6:9" x14ac:dyDescent="0.25">
      <c r="F480" s="50"/>
      <c r="G480" s="72"/>
      <c r="I480" s="71"/>
    </row>
    <row r="481" spans="6:9" x14ac:dyDescent="0.25">
      <c r="F481" s="50"/>
      <c r="G481" s="72"/>
      <c r="I481" s="71"/>
    </row>
    <row r="482" spans="6:9" x14ac:dyDescent="0.25">
      <c r="F482" s="50"/>
      <c r="G482" s="72"/>
      <c r="I482" s="71"/>
    </row>
    <row r="483" spans="6:9" x14ac:dyDescent="0.25">
      <c r="F483" s="50"/>
      <c r="G483" s="72"/>
      <c r="I483" s="71"/>
    </row>
    <row r="484" spans="6:9" x14ac:dyDescent="0.25">
      <c r="F484" s="50"/>
      <c r="G484" s="72"/>
      <c r="I484" s="71"/>
    </row>
    <row r="485" spans="6:9" x14ac:dyDescent="0.25">
      <c r="F485" s="50"/>
      <c r="G485" s="72"/>
      <c r="I485" s="71"/>
    </row>
    <row r="486" spans="6:9" x14ac:dyDescent="0.25">
      <c r="F486" s="50"/>
      <c r="G486" s="72"/>
      <c r="I486" s="71"/>
    </row>
    <row r="487" spans="6:9" x14ac:dyDescent="0.25">
      <c r="F487" s="50"/>
      <c r="G487" s="72"/>
      <c r="I487" s="71"/>
    </row>
    <row r="488" spans="6:9" x14ac:dyDescent="0.25">
      <c r="F488" s="50"/>
      <c r="G488" s="72"/>
      <c r="I488" s="71"/>
    </row>
    <row r="489" spans="6:9" x14ac:dyDescent="0.25">
      <c r="F489" s="50"/>
      <c r="G489" s="72"/>
      <c r="I489" s="71"/>
    </row>
    <row r="490" spans="6:9" x14ac:dyDescent="0.25">
      <c r="F490" s="50"/>
      <c r="G490" s="72"/>
      <c r="I490" s="71"/>
    </row>
    <row r="491" spans="6:9" x14ac:dyDescent="0.25">
      <c r="F491" s="50"/>
      <c r="G491" s="72"/>
      <c r="I491" s="71"/>
    </row>
    <row r="492" spans="6:9" x14ac:dyDescent="0.25">
      <c r="F492" s="50"/>
      <c r="G492" s="72"/>
      <c r="I492" s="71"/>
    </row>
    <row r="493" spans="6:9" x14ac:dyDescent="0.25">
      <c r="F493" s="50"/>
      <c r="G493" s="72"/>
      <c r="I493" s="71"/>
    </row>
    <row r="494" spans="6:9" x14ac:dyDescent="0.25">
      <c r="F494" s="50"/>
      <c r="G494" s="72"/>
      <c r="I494" s="71"/>
    </row>
    <row r="495" spans="6:9" x14ac:dyDescent="0.25">
      <c r="F495" s="50"/>
      <c r="G495" s="72"/>
      <c r="I495" s="71"/>
    </row>
    <row r="496" spans="6:9" x14ac:dyDescent="0.25">
      <c r="F496" s="50"/>
      <c r="G496" s="72"/>
      <c r="I496" s="71"/>
    </row>
    <row r="497" spans="6:9" x14ac:dyDescent="0.25">
      <c r="F497" s="50"/>
      <c r="G497" s="72"/>
      <c r="I497" s="71"/>
    </row>
    <row r="498" spans="6:9" x14ac:dyDescent="0.25">
      <c r="F498" s="50"/>
      <c r="G498" s="72"/>
      <c r="I498" s="71"/>
    </row>
    <row r="499" spans="6:9" x14ac:dyDescent="0.25">
      <c r="F499" s="50"/>
      <c r="G499" s="72"/>
      <c r="I499" s="71"/>
    </row>
    <row r="500" spans="6:9" x14ac:dyDescent="0.25">
      <c r="F500" s="50"/>
      <c r="G500" s="72"/>
      <c r="I500" s="71"/>
    </row>
    <row r="501" spans="6:9" x14ac:dyDescent="0.25">
      <c r="F501" s="50"/>
      <c r="G501" s="72"/>
      <c r="I501" s="71"/>
    </row>
    <row r="502" spans="6:9" x14ac:dyDescent="0.25">
      <c r="F502" s="50"/>
      <c r="G502" s="72"/>
      <c r="I502" s="71"/>
    </row>
    <row r="503" spans="6:9" x14ac:dyDescent="0.25">
      <c r="F503" s="50"/>
      <c r="G503" s="72"/>
      <c r="I503" s="71"/>
    </row>
    <row r="504" spans="6:9" x14ac:dyDescent="0.25">
      <c r="F504" s="50"/>
      <c r="G504" s="72"/>
      <c r="I504" s="71"/>
    </row>
    <row r="505" spans="6:9" x14ac:dyDescent="0.25">
      <c r="F505" s="50"/>
      <c r="G505" s="72"/>
      <c r="I505" s="71"/>
    </row>
    <row r="506" spans="6:9" x14ac:dyDescent="0.25">
      <c r="F506" s="50"/>
      <c r="G506" s="72"/>
      <c r="I506" s="71"/>
    </row>
    <row r="507" spans="6:9" x14ac:dyDescent="0.25">
      <c r="F507" s="50"/>
      <c r="G507" s="72"/>
      <c r="I507" s="71"/>
    </row>
    <row r="508" spans="6:9" x14ac:dyDescent="0.25">
      <c r="F508" s="50"/>
      <c r="G508" s="72"/>
      <c r="I508" s="71"/>
    </row>
    <row r="509" spans="6:9" x14ac:dyDescent="0.25">
      <c r="F509" s="50"/>
      <c r="G509" s="72"/>
      <c r="I509" s="71"/>
    </row>
    <row r="510" spans="6:9" x14ac:dyDescent="0.25">
      <c r="F510" s="50"/>
      <c r="G510" s="72"/>
      <c r="I510" s="71"/>
    </row>
    <row r="511" spans="6:9" x14ac:dyDescent="0.25">
      <c r="F511" s="50"/>
      <c r="G511" s="72"/>
      <c r="I511" s="71"/>
    </row>
    <row r="512" spans="6:9" x14ac:dyDescent="0.25">
      <c r="F512" s="50"/>
      <c r="G512" s="72"/>
      <c r="I512" s="71"/>
    </row>
    <row r="513" spans="6:9" x14ac:dyDescent="0.25">
      <c r="F513" s="50"/>
      <c r="G513" s="72"/>
      <c r="I513" s="71"/>
    </row>
    <row r="514" spans="6:9" x14ac:dyDescent="0.25">
      <c r="F514" s="50"/>
      <c r="G514" s="72"/>
      <c r="I514" s="71"/>
    </row>
    <row r="515" spans="6:9" x14ac:dyDescent="0.25">
      <c r="F515" s="50"/>
      <c r="G515" s="72"/>
      <c r="I515" s="71"/>
    </row>
    <row r="516" spans="6:9" x14ac:dyDescent="0.25">
      <c r="F516" s="50"/>
      <c r="G516" s="72"/>
      <c r="I516" s="71"/>
    </row>
    <row r="517" spans="6:9" x14ac:dyDescent="0.25">
      <c r="F517" s="50"/>
      <c r="G517" s="72"/>
      <c r="I517" s="71"/>
    </row>
    <row r="518" spans="6:9" x14ac:dyDescent="0.25">
      <c r="F518" s="50"/>
      <c r="G518" s="72"/>
      <c r="I518" s="71"/>
    </row>
    <row r="519" spans="6:9" x14ac:dyDescent="0.25">
      <c r="F519" s="50"/>
      <c r="G519" s="72"/>
      <c r="I519" s="71"/>
    </row>
    <row r="520" spans="6:9" x14ac:dyDescent="0.25">
      <c r="F520" s="50"/>
      <c r="G520" s="72"/>
      <c r="I520" s="71"/>
    </row>
    <row r="521" spans="6:9" x14ac:dyDescent="0.25">
      <c r="F521" s="50"/>
      <c r="G521" s="72"/>
      <c r="I521" s="71"/>
    </row>
    <row r="522" spans="6:9" x14ac:dyDescent="0.25">
      <c r="F522" s="50"/>
      <c r="G522" s="72"/>
      <c r="I522" s="71"/>
    </row>
    <row r="523" spans="6:9" x14ac:dyDescent="0.25">
      <c r="F523" s="50"/>
      <c r="G523" s="72"/>
      <c r="I523" s="71"/>
    </row>
    <row r="524" spans="6:9" x14ac:dyDescent="0.25">
      <c r="F524" s="50"/>
      <c r="G524" s="72"/>
      <c r="I524" s="71"/>
    </row>
    <row r="525" spans="6:9" x14ac:dyDescent="0.25">
      <c r="F525" s="50"/>
      <c r="G525" s="72"/>
      <c r="I525" s="71"/>
    </row>
    <row r="526" spans="6:9" x14ac:dyDescent="0.25">
      <c r="F526" s="50"/>
      <c r="G526" s="72"/>
      <c r="I526" s="71"/>
    </row>
    <row r="527" spans="6:9" x14ac:dyDescent="0.25">
      <c r="F527" s="50"/>
      <c r="G527" s="72"/>
      <c r="I527" s="71"/>
    </row>
    <row r="528" spans="6:9" x14ac:dyDescent="0.25">
      <c r="F528" s="50"/>
      <c r="G528" s="72"/>
      <c r="I528" s="71"/>
    </row>
    <row r="529" spans="6:9" x14ac:dyDescent="0.25">
      <c r="F529" s="50"/>
      <c r="G529" s="72"/>
      <c r="I529" s="71"/>
    </row>
    <row r="530" spans="6:9" x14ac:dyDescent="0.25">
      <c r="F530" s="50"/>
      <c r="G530" s="72"/>
      <c r="I530" s="71"/>
    </row>
    <row r="531" spans="6:9" x14ac:dyDescent="0.25">
      <c r="F531" s="50"/>
      <c r="G531" s="72"/>
      <c r="I531" s="71"/>
    </row>
    <row r="532" spans="6:9" x14ac:dyDescent="0.25">
      <c r="F532" s="50"/>
      <c r="G532" s="72"/>
      <c r="I532" s="71"/>
    </row>
    <row r="533" spans="6:9" x14ac:dyDescent="0.25">
      <c r="F533" s="50"/>
      <c r="G533" s="72"/>
      <c r="I533" s="71"/>
    </row>
    <row r="534" spans="6:9" x14ac:dyDescent="0.25">
      <c r="F534" s="50"/>
      <c r="G534" s="72"/>
      <c r="I534" s="71"/>
    </row>
    <row r="535" spans="6:9" x14ac:dyDescent="0.25">
      <c r="F535" s="50"/>
      <c r="G535" s="72"/>
      <c r="I535" s="71"/>
    </row>
    <row r="536" spans="6:9" x14ac:dyDescent="0.25">
      <c r="F536" s="50"/>
      <c r="G536" s="72"/>
      <c r="I536" s="71"/>
    </row>
    <row r="537" spans="6:9" x14ac:dyDescent="0.25">
      <c r="F537" s="50"/>
      <c r="G537" s="72"/>
      <c r="I537" s="71"/>
    </row>
    <row r="538" spans="6:9" x14ac:dyDescent="0.25">
      <c r="F538" s="50"/>
      <c r="G538" s="72"/>
      <c r="I538" s="71"/>
    </row>
    <row r="539" spans="6:9" x14ac:dyDescent="0.25">
      <c r="F539" s="50"/>
      <c r="G539" s="72"/>
      <c r="I539" s="71"/>
    </row>
    <row r="540" spans="6:9" x14ac:dyDescent="0.25">
      <c r="F540" s="50"/>
      <c r="G540" s="72"/>
      <c r="I540" s="71"/>
    </row>
    <row r="541" spans="6:9" x14ac:dyDescent="0.25">
      <c r="F541" s="50"/>
      <c r="G541" s="72"/>
      <c r="I541" s="71"/>
    </row>
    <row r="542" spans="6:9" x14ac:dyDescent="0.25">
      <c r="F542" s="50"/>
      <c r="G542" s="72"/>
      <c r="I542" s="71"/>
    </row>
    <row r="543" spans="6:9" x14ac:dyDescent="0.25">
      <c r="F543" s="50"/>
      <c r="G543" s="72"/>
      <c r="I543" s="71"/>
    </row>
    <row r="544" spans="6:9" x14ac:dyDescent="0.25">
      <c r="F544" s="50"/>
      <c r="G544" s="72"/>
      <c r="I544" s="71"/>
    </row>
    <row r="545" spans="6:9" x14ac:dyDescent="0.25">
      <c r="F545" s="50"/>
      <c r="G545" s="72"/>
      <c r="I545" s="71"/>
    </row>
    <row r="546" spans="6:9" x14ac:dyDescent="0.25">
      <c r="F546" s="50"/>
      <c r="G546" s="72"/>
      <c r="I546" s="71"/>
    </row>
    <row r="547" spans="6:9" x14ac:dyDescent="0.25">
      <c r="F547" s="50"/>
      <c r="G547" s="72"/>
      <c r="I547" s="71"/>
    </row>
    <row r="548" spans="6:9" x14ac:dyDescent="0.25">
      <c r="F548" s="50"/>
      <c r="G548" s="72"/>
      <c r="I548" s="71"/>
    </row>
    <row r="549" spans="6:9" x14ac:dyDescent="0.25">
      <c r="F549" s="50"/>
      <c r="G549" s="72"/>
      <c r="I549" s="71"/>
    </row>
    <row r="550" spans="6:9" x14ac:dyDescent="0.25">
      <c r="F550" s="50"/>
      <c r="G550" s="72"/>
      <c r="I550" s="71"/>
    </row>
    <row r="551" spans="6:9" x14ac:dyDescent="0.25">
      <c r="F551" s="50"/>
      <c r="G551" s="72"/>
      <c r="I551" s="71"/>
    </row>
    <row r="552" spans="6:9" x14ac:dyDescent="0.25">
      <c r="F552" s="50"/>
      <c r="G552" s="72"/>
      <c r="I552" s="71"/>
    </row>
    <row r="553" spans="6:9" x14ac:dyDescent="0.25">
      <c r="F553" s="50"/>
      <c r="G553" s="72"/>
      <c r="I553" s="71"/>
    </row>
    <row r="554" spans="6:9" x14ac:dyDescent="0.25">
      <c r="F554" s="50"/>
      <c r="G554" s="72"/>
      <c r="I554" s="71"/>
    </row>
    <row r="555" spans="6:9" x14ac:dyDescent="0.25">
      <c r="F555" s="50"/>
      <c r="G555" s="72"/>
      <c r="I555" s="71"/>
    </row>
    <row r="556" spans="6:9" x14ac:dyDescent="0.25">
      <c r="F556" s="50"/>
      <c r="G556" s="72"/>
      <c r="I556" s="71"/>
    </row>
    <row r="557" spans="6:9" x14ac:dyDescent="0.25">
      <c r="F557" s="50"/>
      <c r="G557" s="72"/>
      <c r="I557" s="71"/>
    </row>
    <row r="558" spans="6:9" x14ac:dyDescent="0.25">
      <c r="F558" s="50"/>
      <c r="G558" s="72"/>
      <c r="I558" s="71"/>
    </row>
    <row r="559" spans="6:9" x14ac:dyDescent="0.25">
      <c r="F559" s="50"/>
      <c r="G559" s="72"/>
      <c r="I559" s="71"/>
    </row>
    <row r="560" spans="6:9" x14ac:dyDescent="0.25">
      <c r="F560" s="50"/>
      <c r="G560" s="72"/>
      <c r="I560" s="71"/>
    </row>
    <row r="561" spans="6:9" x14ac:dyDescent="0.25">
      <c r="F561" s="50"/>
      <c r="G561" s="72"/>
      <c r="I561" s="71"/>
    </row>
    <row r="562" spans="6:9" x14ac:dyDescent="0.25">
      <c r="F562" s="50"/>
      <c r="G562" s="72"/>
      <c r="I562" s="71"/>
    </row>
    <row r="563" spans="6:9" x14ac:dyDescent="0.25">
      <c r="F563" s="50"/>
      <c r="G563" s="72"/>
      <c r="I563" s="71"/>
    </row>
    <row r="564" spans="6:9" x14ac:dyDescent="0.25">
      <c r="F564" s="50"/>
      <c r="G564" s="72"/>
      <c r="I564" s="71"/>
    </row>
    <row r="565" spans="6:9" x14ac:dyDescent="0.25">
      <c r="F565" s="50"/>
      <c r="G565" s="72"/>
      <c r="I565" s="71"/>
    </row>
    <row r="566" spans="6:9" x14ac:dyDescent="0.25">
      <c r="F566" s="50"/>
      <c r="G566" s="72"/>
      <c r="I566" s="71"/>
    </row>
    <row r="567" spans="6:9" x14ac:dyDescent="0.25">
      <c r="F567" s="50"/>
      <c r="G567" s="72"/>
      <c r="I567" s="71"/>
    </row>
    <row r="568" spans="6:9" x14ac:dyDescent="0.25">
      <c r="F568" s="50"/>
      <c r="G568" s="72"/>
      <c r="I568" s="71"/>
    </row>
    <row r="569" spans="6:9" x14ac:dyDescent="0.25">
      <c r="F569" s="50"/>
      <c r="G569" s="72"/>
      <c r="I569" s="71"/>
    </row>
    <row r="570" spans="6:9" x14ac:dyDescent="0.25">
      <c r="F570" s="50"/>
      <c r="G570" s="72"/>
      <c r="I570" s="71"/>
    </row>
    <row r="571" spans="6:9" x14ac:dyDescent="0.25">
      <c r="F571" s="50"/>
      <c r="G571" s="72"/>
      <c r="I571" s="71"/>
    </row>
    <row r="572" spans="6:9" x14ac:dyDescent="0.25">
      <c r="F572" s="50"/>
      <c r="G572" s="72"/>
      <c r="I572" s="71"/>
    </row>
    <row r="573" spans="6:9" x14ac:dyDescent="0.25">
      <c r="F573" s="50"/>
      <c r="G573" s="72"/>
      <c r="I573" s="71"/>
    </row>
    <row r="574" spans="6:9" x14ac:dyDescent="0.25">
      <c r="F574" s="50"/>
      <c r="G574" s="72"/>
      <c r="I574" s="71"/>
    </row>
    <row r="575" spans="6:9" x14ac:dyDescent="0.25">
      <c r="F575" s="50"/>
      <c r="G575" s="72"/>
      <c r="I575" s="71"/>
    </row>
    <row r="576" spans="6:9" x14ac:dyDescent="0.25">
      <c r="F576" s="50"/>
      <c r="G576" s="72"/>
      <c r="I576" s="71"/>
    </row>
    <row r="577" spans="6:9" x14ac:dyDescent="0.25">
      <c r="F577" s="50"/>
      <c r="G577" s="72"/>
      <c r="I577" s="71"/>
    </row>
    <row r="578" spans="6:9" x14ac:dyDescent="0.25">
      <c r="F578" s="50"/>
      <c r="G578" s="72"/>
      <c r="I578" s="71"/>
    </row>
    <row r="579" spans="6:9" x14ac:dyDescent="0.25">
      <c r="F579" s="50"/>
      <c r="G579" s="72"/>
      <c r="I579" s="71"/>
    </row>
    <row r="580" spans="6:9" x14ac:dyDescent="0.25">
      <c r="F580" s="50"/>
      <c r="G580" s="72"/>
      <c r="I580" s="71"/>
    </row>
    <row r="581" spans="6:9" x14ac:dyDescent="0.25">
      <c r="F581" s="50"/>
      <c r="G581" s="72"/>
      <c r="I581" s="71"/>
    </row>
    <row r="582" spans="6:9" x14ac:dyDescent="0.25">
      <c r="F582" s="50"/>
      <c r="G582" s="72"/>
      <c r="I582" s="71"/>
    </row>
    <row r="583" spans="6:9" x14ac:dyDescent="0.25">
      <c r="F583" s="50"/>
      <c r="G583" s="72"/>
      <c r="I583" s="71"/>
    </row>
    <row r="584" spans="6:9" x14ac:dyDescent="0.25">
      <c r="F584" s="50"/>
      <c r="G584" s="72"/>
      <c r="I584" s="71"/>
    </row>
    <row r="585" spans="6:9" x14ac:dyDescent="0.25">
      <c r="F585" s="50"/>
      <c r="G585" s="72"/>
      <c r="I585" s="71"/>
    </row>
    <row r="586" spans="6:9" x14ac:dyDescent="0.25">
      <c r="F586" s="50"/>
      <c r="G586" s="72"/>
      <c r="I586" s="71"/>
    </row>
    <row r="587" spans="6:9" x14ac:dyDescent="0.25">
      <c r="F587" s="50"/>
      <c r="G587" s="72"/>
      <c r="I587" s="71"/>
    </row>
    <row r="588" spans="6:9" x14ac:dyDescent="0.25">
      <c r="F588" s="50"/>
      <c r="G588" s="72"/>
      <c r="I588" s="71"/>
    </row>
    <row r="589" spans="6:9" x14ac:dyDescent="0.25">
      <c r="F589" s="50"/>
      <c r="G589" s="72"/>
      <c r="I589" s="71"/>
    </row>
    <row r="590" spans="6:9" x14ac:dyDescent="0.25">
      <c r="F590" s="50"/>
      <c r="G590" s="72"/>
      <c r="I590" s="71"/>
    </row>
    <row r="591" spans="6:9" x14ac:dyDescent="0.25">
      <c r="F591" s="50"/>
      <c r="G591" s="72"/>
      <c r="I591" s="71"/>
    </row>
    <row r="592" spans="6:9" x14ac:dyDescent="0.25">
      <c r="F592" s="50"/>
      <c r="G592" s="72"/>
      <c r="I592" s="71"/>
    </row>
    <row r="593" spans="6:9" x14ac:dyDescent="0.25">
      <c r="F593" s="50"/>
      <c r="G593" s="72"/>
      <c r="I593" s="71"/>
    </row>
    <row r="594" spans="6:9" x14ac:dyDescent="0.25">
      <c r="F594" s="50"/>
      <c r="G594" s="72"/>
      <c r="I594" s="71"/>
    </row>
    <row r="595" spans="6:9" x14ac:dyDescent="0.25">
      <c r="F595" s="50"/>
      <c r="G595" s="72"/>
      <c r="I595" s="71"/>
    </row>
    <row r="596" spans="6:9" x14ac:dyDescent="0.25">
      <c r="F596" s="50"/>
      <c r="G596" s="72"/>
      <c r="I596" s="71"/>
    </row>
    <row r="597" spans="6:9" x14ac:dyDescent="0.25">
      <c r="F597" s="50"/>
      <c r="G597" s="72"/>
      <c r="I597" s="71"/>
    </row>
    <row r="598" spans="6:9" x14ac:dyDescent="0.25">
      <c r="F598" s="50"/>
      <c r="G598" s="72"/>
      <c r="I598" s="71"/>
    </row>
    <row r="599" spans="6:9" x14ac:dyDescent="0.25">
      <c r="F599" s="50"/>
      <c r="G599" s="72"/>
      <c r="I599" s="71"/>
    </row>
    <row r="600" spans="6:9" x14ac:dyDescent="0.25">
      <c r="F600" s="50"/>
      <c r="G600" s="72"/>
      <c r="I600" s="71"/>
    </row>
    <row r="601" spans="6:9" x14ac:dyDescent="0.25">
      <c r="F601" s="50"/>
      <c r="G601" s="72"/>
      <c r="I601" s="71"/>
    </row>
    <row r="602" spans="6:9" x14ac:dyDescent="0.25">
      <c r="F602" s="50"/>
      <c r="G602" s="72"/>
      <c r="I602" s="71"/>
    </row>
    <row r="603" spans="6:9" x14ac:dyDescent="0.25">
      <c r="F603" s="50"/>
      <c r="G603" s="72"/>
      <c r="I603" s="71"/>
    </row>
    <row r="604" spans="6:9" x14ac:dyDescent="0.25">
      <c r="F604" s="50"/>
      <c r="G604" s="72"/>
      <c r="I604" s="71"/>
    </row>
    <row r="605" spans="6:9" x14ac:dyDescent="0.25">
      <c r="F605" s="50"/>
      <c r="G605" s="72"/>
      <c r="I605" s="71"/>
    </row>
    <row r="606" spans="6:9" x14ac:dyDescent="0.25">
      <c r="F606" s="50"/>
      <c r="G606" s="72"/>
      <c r="I606" s="71"/>
    </row>
    <row r="607" spans="6:9" x14ac:dyDescent="0.25">
      <c r="F607" s="50"/>
      <c r="G607" s="72"/>
      <c r="I607" s="71"/>
    </row>
    <row r="608" spans="6:9" x14ac:dyDescent="0.25">
      <c r="F608" s="50"/>
      <c r="G608" s="72"/>
      <c r="I608" s="71"/>
    </row>
    <row r="609" spans="6:9" x14ac:dyDescent="0.25">
      <c r="F609" s="50"/>
      <c r="G609" s="72"/>
      <c r="I609" s="71"/>
    </row>
    <row r="610" spans="6:9" x14ac:dyDescent="0.25">
      <c r="F610" s="50"/>
      <c r="G610" s="72"/>
      <c r="I610" s="71"/>
    </row>
    <row r="611" spans="6:9" x14ac:dyDescent="0.25">
      <c r="F611" s="50"/>
      <c r="G611" s="72"/>
      <c r="I611" s="71"/>
    </row>
    <row r="612" spans="6:9" x14ac:dyDescent="0.25">
      <c r="F612" s="50"/>
      <c r="G612" s="72"/>
      <c r="I612" s="71"/>
    </row>
    <row r="613" spans="6:9" x14ac:dyDescent="0.25">
      <c r="F613" s="50"/>
      <c r="G613" s="72"/>
      <c r="I613" s="71"/>
    </row>
    <row r="614" spans="6:9" x14ac:dyDescent="0.25">
      <c r="F614" s="50"/>
      <c r="G614" s="72"/>
      <c r="I614" s="71"/>
    </row>
    <row r="615" spans="6:9" x14ac:dyDescent="0.25">
      <c r="F615" s="50"/>
      <c r="G615" s="72"/>
      <c r="I615" s="71"/>
    </row>
    <row r="616" spans="6:9" x14ac:dyDescent="0.25">
      <c r="F616" s="50"/>
      <c r="G616" s="72"/>
      <c r="I616" s="71"/>
    </row>
    <row r="617" spans="6:9" x14ac:dyDescent="0.25">
      <c r="F617" s="50"/>
      <c r="G617" s="72"/>
      <c r="I617" s="71"/>
    </row>
    <row r="618" spans="6:9" x14ac:dyDescent="0.25">
      <c r="F618" s="50"/>
      <c r="G618" s="72"/>
      <c r="I618" s="71"/>
    </row>
    <row r="619" spans="6:9" x14ac:dyDescent="0.25">
      <c r="F619" s="50"/>
      <c r="G619" s="72"/>
      <c r="I619" s="71"/>
    </row>
    <row r="620" spans="6:9" x14ac:dyDescent="0.25">
      <c r="F620" s="50"/>
      <c r="G620" s="72"/>
      <c r="I620" s="71"/>
    </row>
    <row r="621" spans="6:9" x14ac:dyDescent="0.25">
      <c r="F621" s="50"/>
      <c r="G621" s="72"/>
      <c r="I621" s="71"/>
    </row>
    <row r="622" spans="6:9" x14ac:dyDescent="0.25">
      <c r="F622" s="50"/>
      <c r="G622" s="72"/>
      <c r="I622" s="71"/>
    </row>
    <row r="623" spans="6:9" x14ac:dyDescent="0.25">
      <c r="F623" s="50"/>
      <c r="G623" s="72"/>
      <c r="I623" s="71"/>
    </row>
    <row r="624" spans="6:9" x14ac:dyDescent="0.25">
      <c r="F624" s="50"/>
      <c r="G624" s="72"/>
      <c r="I624" s="71"/>
    </row>
    <row r="625" spans="6:9" x14ac:dyDescent="0.25">
      <c r="F625" s="50"/>
      <c r="G625" s="72"/>
      <c r="I625" s="71"/>
    </row>
    <row r="626" spans="6:9" x14ac:dyDescent="0.25">
      <c r="F626" s="50"/>
      <c r="G626" s="72"/>
      <c r="I626" s="71"/>
    </row>
    <row r="627" spans="6:9" x14ac:dyDescent="0.25">
      <c r="F627" s="50"/>
      <c r="G627" s="72"/>
      <c r="I627" s="71"/>
    </row>
    <row r="628" spans="6:9" x14ac:dyDescent="0.25">
      <c r="F628" s="50"/>
      <c r="G628" s="72"/>
      <c r="I628" s="71"/>
    </row>
    <row r="629" spans="6:9" x14ac:dyDescent="0.25">
      <c r="F629" s="50"/>
      <c r="G629" s="72"/>
      <c r="I629" s="71"/>
    </row>
    <row r="630" spans="6:9" x14ac:dyDescent="0.25">
      <c r="F630" s="50"/>
      <c r="G630" s="72"/>
      <c r="I630" s="71"/>
    </row>
    <row r="631" spans="6:9" x14ac:dyDescent="0.25">
      <c r="F631" s="50"/>
      <c r="G631" s="72"/>
      <c r="I631" s="71"/>
    </row>
    <row r="632" spans="6:9" x14ac:dyDescent="0.25">
      <c r="F632" s="50"/>
      <c r="G632" s="72"/>
      <c r="I632" s="71"/>
    </row>
    <row r="633" spans="6:9" x14ac:dyDescent="0.25">
      <c r="F633" s="50"/>
      <c r="G633" s="72"/>
      <c r="I633" s="71"/>
    </row>
    <row r="634" spans="6:9" x14ac:dyDescent="0.25">
      <c r="F634" s="50"/>
      <c r="G634" s="72"/>
      <c r="I634" s="71"/>
    </row>
    <row r="635" spans="6:9" x14ac:dyDescent="0.25">
      <c r="F635" s="50"/>
      <c r="G635" s="72"/>
      <c r="I635" s="71"/>
    </row>
    <row r="636" spans="6:9" x14ac:dyDescent="0.25">
      <c r="F636" s="50"/>
      <c r="G636" s="72"/>
      <c r="I636" s="71"/>
    </row>
    <row r="637" spans="6:9" x14ac:dyDescent="0.25">
      <c r="F637" s="50"/>
      <c r="G637" s="72"/>
      <c r="I637" s="71"/>
    </row>
    <row r="638" spans="6:9" x14ac:dyDescent="0.25">
      <c r="F638" s="50"/>
      <c r="G638" s="72"/>
      <c r="I638" s="71"/>
    </row>
    <row r="639" spans="6:9" x14ac:dyDescent="0.25">
      <c r="F639" s="50"/>
      <c r="G639" s="72"/>
      <c r="I639" s="71"/>
    </row>
    <row r="640" spans="6:9" x14ac:dyDescent="0.25">
      <c r="F640" s="50"/>
      <c r="G640" s="72"/>
      <c r="I640" s="71"/>
    </row>
    <row r="641" spans="6:9" x14ac:dyDescent="0.25">
      <c r="F641" s="50"/>
      <c r="G641" s="72"/>
      <c r="I641" s="71"/>
    </row>
    <row r="642" spans="6:9" x14ac:dyDescent="0.25">
      <c r="F642" s="50"/>
      <c r="G642" s="72"/>
      <c r="I642" s="71"/>
    </row>
    <row r="643" spans="6:9" x14ac:dyDescent="0.25">
      <c r="F643" s="50"/>
      <c r="G643" s="72"/>
      <c r="I643" s="71"/>
    </row>
    <row r="644" spans="6:9" x14ac:dyDescent="0.25">
      <c r="F644" s="50"/>
      <c r="G644" s="72"/>
      <c r="I644" s="71"/>
    </row>
    <row r="645" spans="6:9" x14ac:dyDescent="0.25">
      <c r="F645" s="50"/>
      <c r="G645" s="72"/>
      <c r="I645" s="71"/>
    </row>
    <row r="646" spans="6:9" x14ac:dyDescent="0.25">
      <c r="F646" s="50"/>
      <c r="G646" s="72"/>
      <c r="I646" s="71"/>
    </row>
    <row r="647" spans="6:9" x14ac:dyDescent="0.25">
      <c r="F647" s="50"/>
      <c r="G647" s="72"/>
      <c r="I647" s="71"/>
    </row>
    <row r="648" spans="6:9" x14ac:dyDescent="0.25">
      <c r="F648" s="50"/>
      <c r="G648" s="72"/>
      <c r="I648" s="71"/>
    </row>
    <row r="649" spans="6:9" x14ac:dyDescent="0.25">
      <c r="F649" s="50"/>
      <c r="G649" s="72"/>
      <c r="I649" s="71"/>
    </row>
    <row r="650" spans="6:9" x14ac:dyDescent="0.25">
      <c r="F650" s="50"/>
      <c r="G650" s="72"/>
      <c r="I650" s="71"/>
    </row>
    <row r="651" spans="6:9" x14ac:dyDescent="0.25">
      <c r="F651" s="50"/>
      <c r="G651" s="72"/>
      <c r="I651" s="71"/>
    </row>
    <row r="652" spans="6:9" x14ac:dyDescent="0.25">
      <c r="F652" s="50"/>
      <c r="G652" s="72"/>
      <c r="I652" s="71"/>
    </row>
    <row r="653" spans="6:9" x14ac:dyDescent="0.25">
      <c r="F653" s="50"/>
      <c r="G653" s="72"/>
      <c r="I653" s="71"/>
    </row>
    <row r="654" spans="6:9" x14ac:dyDescent="0.25">
      <c r="F654" s="50"/>
      <c r="G654" s="72"/>
      <c r="I654" s="71"/>
    </row>
    <row r="655" spans="6:9" x14ac:dyDescent="0.25">
      <c r="F655" s="50"/>
      <c r="G655" s="72"/>
      <c r="I655" s="71"/>
    </row>
    <row r="656" spans="6:9" x14ac:dyDescent="0.25">
      <c r="F656" s="50"/>
      <c r="G656" s="72"/>
      <c r="I656" s="71"/>
    </row>
    <row r="657" spans="6:9" x14ac:dyDescent="0.25">
      <c r="F657" s="50"/>
      <c r="G657" s="72"/>
      <c r="I657" s="71"/>
    </row>
    <row r="658" spans="6:9" x14ac:dyDescent="0.25">
      <c r="F658" s="50"/>
      <c r="G658" s="72"/>
      <c r="I658" s="71"/>
    </row>
    <row r="659" spans="6:9" x14ac:dyDescent="0.25">
      <c r="F659" s="50"/>
      <c r="G659" s="72"/>
      <c r="I659" s="71"/>
    </row>
    <row r="660" spans="6:9" x14ac:dyDescent="0.25">
      <c r="F660" s="50"/>
      <c r="G660" s="72"/>
      <c r="I660" s="71"/>
    </row>
    <row r="661" spans="6:9" x14ac:dyDescent="0.25">
      <c r="F661" s="50"/>
      <c r="G661" s="72"/>
      <c r="I661" s="71"/>
    </row>
    <row r="662" spans="6:9" x14ac:dyDescent="0.25">
      <c r="F662" s="50"/>
      <c r="G662" s="72"/>
      <c r="I662" s="71"/>
    </row>
    <row r="663" spans="6:9" x14ac:dyDescent="0.25">
      <c r="F663" s="50"/>
      <c r="G663" s="72"/>
      <c r="I663" s="71"/>
    </row>
    <row r="664" spans="6:9" x14ac:dyDescent="0.25">
      <c r="F664" s="50"/>
      <c r="G664" s="72"/>
      <c r="I664" s="71"/>
    </row>
    <row r="665" spans="6:9" x14ac:dyDescent="0.25">
      <c r="F665" s="50"/>
      <c r="G665" s="72"/>
      <c r="I665" s="71"/>
    </row>
    <row r="666" spans="6:9" x14ac:dyDescent="0.25">
      <c r="F666" s="50"/>
      <c r="G666" s="72"/>
      <c r="I666" s="71"/>
    </row>
    <row r="667" spans="6:9" x14ac:dyDescent="0.25">
      <c r="F667" s="50"/>
      <c r="G667" s="72"/>
      <c r="I667" s="71"/>
    </row>
    <row r="668" spans="6:9" x14ac:dyDescent="0.25">
      <c r="F668" s="50"/>
      <c r="G668" s="72"/>
      <c r="I668" s="71"/>
    </row>
    <row r="669" spans="6:9" x14ac:dyDescent="0.25">
      <c r="F669" s="50"/>
      <c r="G669" s="72"/>
      <c r="I669" s="71"/>
    </row>
    <row r="670" spans="6:9" x14ac:dyDescent="0.25">
      <c r="F670" s="50"/>
      <c r="G670" s="72"/>
      <c r="I670" s="71"/>
    </row>
    <row r="671" spans="6:9" x14ac:dyDescent="0.25">
      <c r="F671" s="50"/>
      <c r="G671" s="72"/>
      <c r="I671" s="71"/>
    </row>
    <row r="672" spans="6:9" x14ac:dyDescent="0.25">
      <c r="F672" s="50"/>
      <c r="G672" s="72"/>
      <c r="I672" s="71"/>
    </row>
    <row r="673" spans="6:9" x14ac:dyDescent="0.25">
      <c r="F673" s="50"/>
      <c r="G673" s="72"/>
      <c r="I673" s="71"/>
    </row>
    <row r="674" spans="6:9" x14ac:dyDescent="0.25">
      <c r="F674" s="50"/>
      <c r="G674" s="72"/>
      <c r="I674" s="71"/>
    </row>
    <row r="675" spans="6:9" x14ac:dyDescent="0.25">
      <c r="F675" s="50"/>
      <c r="G675" s="72"/>
      <c r="I675" s="71"/>
    </row>
    <row r="676" spans="6:9" x14ac:dyDescent="0.25">
      <c r="F676" s="50"/>
      <c r="G676" s="72"/>
      <c r="I676" s="71"/>
    </row>
    <row r="677" spans="6:9" x14ac:dyDescent="0.25">
      <c r="F677" s="50"/>
      <c r="G677" s="72"/>
      <c r="I677" s="71"/>
    </row>
    <row r="678" spans="6:9" x14ac:dyDescent="0.25">
      <c r="F678" s="50"/>
      <c r="G678" s="72"/>
      <c r="I678" s="71"/>
    </row>
    <row r="679" spans="6:9" x14ac:dyDescent="0.25">
      <c r="F679" s="50"/>
      <c r="G679" s="72"/>
      <c r="I679" s="71"/>
    </row>
    <row r="680" spans="6:9" x14ac:dyDescent="0.25">
      <c r="F680" s="50"/>
      <c r="G680" s="72"/>
      <c r="I680" s="71"/>
    </row>
    <row r="681" spans="6:9" x14ac:dyDescent="0.25">
      <c r="F681" s="50"/>
      <c r="G681" s="72"/>
      <c r="I681" s="71"/>
    </row>
    <row r="682" spans="6:9" x14ac:dyDescent="0.25">
      <c r="F682" s="50"/>
      <c r="G682" s="72"/>
      <c r="I682" s="71"/>
    </row>
    <row r="683" spans="6:9" x14ac:dyDescent="0.25">
      <c r="F683" s="50"/>
      <c r="G683" s="72"/>
      <c r="I683" s="71"/>
    </row>
    <row r="684" spans="6:9" x14ac:dyDescent="0.25">
      <c r="F684" s="50"/>
      <c r="G684" s="72"/>
      <c r="I684" s="71"/>
    </row>
    <row r="685" spans="6:9" x14ac:dyDescent="0.25">
      <c r="F685" s="50"/>
      <c r="G685" s="72"/>
      <c r="I685" s="71"/>
    </row>
    <row r="686" spans="6:9" x14ac:dyDescent="0.25">
      <c r="F686" s="50"/>
      <c r="G686" s="72"/>
      <c r="I686" s="71"/>
    </row>
    <row r="687" spans="6:9" x14ac:dyDescent="0.25">
      <c r="F687" s="50"/>
      <c r="G687" s="72"/>
      <c r="I687" s="71"/>
    </row>
    <row r="688" spans="6:9" x14ac:dyDescent="0.25">
      <c r="F688" s="50"/>
      <c r="G688" s="72"/>
      <c r="I688" s="71"/>
    </row>
    <row r="689" spans="6:9" x14ac:dyDescent="0.25">
      <c r="F689" s="50"/>
      <c r="G689" s="72"/>
      <c r="I689" s="71"/>
    </row>
    <row r="690" spans="6:9" x14ac:dyDescent="0.25">
      <c r="F690" s="50"/>
      <c r="G690" s="72"/>
      <c r="I690" s="71"/>
    </row>
    <row r="691" spans="6:9" x14ac:dyDescent="0.25">
      <c r="F691" s="50"/>
      <c r="G691" s="72"/>
      <c r="I691" s="71"/>
    </row>
    <row r="692" spans="6:9" x14ac:dyDescent="0.25">
      <c r="F692" s="50"/>
      <c r="G692" s="72"/>
      <c r="I692" s="71"/>
    </row>
    <row r="693" spans="6:9" x14ac:dyDescent="0.25">
      <c r="F693" s="50"/>
      <c r="G693" s="72"/>
      <c r="I693" s="71"/>
    </row>
    <row r="694" spans="6:9" x14ac:dyDescent="0.25">
      <c r="F694" s="50"/>
      <c r="G694" s="72"/>
      <c r="I694" s="71"/>
    </row>
    <row r="695" spans="6:9" x14ac:dyDescent="0.25">
      <c r="F695" s="50"/>
      <c r="G695" s="72"/>
      <c r="I695" s="71"/>
    </row>
    <row r="696" spans="6:9" x14ac:dyDescent="0.25">
      <c r="F696" s="50"/>
      <c r="G696" s="72"/>
      <c r="I696" s="71"/>
    </row>
    <row r="697" spans="6:9" x14ac:dyDescent="0.25">
      <c r="F697" s="50"/>
      <c r="G697" s="72"/>
      <c r="I697" s="71"/>
    </row>
    <row r="698" spans="6:9" x14ac:dyDescent="0.25">
      <c r="F698" s="50"/>
      <c r="G698" s="72"/>
      <c r="I698" s="71"/>
    </row>
    <row r="699" spans="6:9" x14ac:dyDescent="0.25">
      <c r="F699" s="50"/>
      <c r="G699" s="72"/>
      <c r="I699" s="71"/>
    </row>
    <row r="700" spans="6:9" x14ac:dyDescent="0.25">
      <c r="F700" s="50"/>
      <c r="G700" s="72"/>
      <c r="I700" s="71"/>
    </row>
    <row r="701" spans="6:9" x14ac:dyDescent="0.25">
      <c r="F701" s="50"/>
      <c r="G701" s="72"/>
      <c r="I701" s="71"/>
    </row>
    <row r="702" spans="6:9" x14ac:dyDescent="0.25">
      <c r="F702" s="50"/>
      <c r="G702" s="72"/>
      <c r="I702" s="71"/>
    </row>
    <row r="703" spans="6:9" x14ac:dyDescent="0.25">
      <c r="F703" s="50"/>
      <c r="G703" s="72"/>
      <c r="I703" s="71"/>
    </row>
    <row r="704" spans="6:9" x14ac:dyDescent="0.25">
      <c r="F704" s="50"/>
      <c r="G704" s="72"/>
      <c r="I704" s="71"/>
    </row>
    <row r="705" spans="1:9" x14ac:dyDescent="0.25">
      <c r="F705" s="50"/>
      <c r="G705" s="72"/>
      <c r="I705" s="71"/>
    </row>
    <row r="706" spans="1:9" x14ac:dyDescent="0.25">
      <c r="F706" s="50"/>
      <c r="G706" s="72"/>
      <c r="I706" s="71"/>
    </row>
    <row r="707" spans="1:9" x14ac:dyDescent="0.25">
      <c r="F707" s="50"/>
      <c r="G707" s="72"/>
      <c r="I707" s="71"/>
    </row>
    <row r="708" spans="1:9" x14ac:dyDescent="0.25">
      <c r="F708" s="50"/>
      <c r="G708" s="72"/>
      <c r="I708" s="71"/>
    </row>
    <row r="709" spans="1:9" x14ac:dyDescent="0.25">
      <c r="F709" s="50"/>
      <c r="G709" s="72"/>
      <c r="I709" s="71"/>
    </row>
    <row r="710" spans="1:9" x14ac:dyDescent="0.25">
      <c r="F710" s="50"/>
      <c r="G710" s="72"/>
      <c r="I710" s="71"/>
    </row>
    <row r="711" spans="1:9" x14ac:dyDescent="0.25">
      <c r="F711" s="50"/>
      <c r="G711" s="72"/>
      <c r="I711" s="71"/>
    </row>
    <row r="712" spans="1:9" ht="14.4" x14ac:dyDescent="0.3">
      <c r="A712" s="73"/>
      <c r="B712" s="73"/>
      <c r="C712" s="73"/>
      <c r="D712" s="73"/>
      <c r="E712" s="73"/>
      <c r="F712" s="74"/>
      <c r="G712" s="75"/>
      <c r="H712" s="73"/>
      <c r="I712" s="76"/>
    </row>
    <row r="713" spans="1:9" ht="14.4" x14ac:dyDescent="0.3">
      <c r="A713" s="73"/>
      <c r="B713" s="73"/>
      <c r="C713" s="73"/>
      <c r="D713" s="73"/>
      <c r="E713" s="73"/>
      <c r="F713" s="74"/>
      <c r="G713" s="75"/>
      <c r="H713" s="73"/>
      <c r="I713" s="76"/>
    </row>
    <row r="714" spans="1:9" ht="14.4" x14ac:dyDescent="0.3">
      <c r="A714" s="73"/>
      <c r="B714" s="73"/>
      <c r="C714" s="73"/>
      <c r="D714" s="73"/>
      <c r="E714" s="73"/>
      <c r="F714" s="74"/>
      <c r="G714" s="75"/>
      <c r="H714" s="73"/>
      <c r="I714" s="76"/>
    </row>
    <row r="715" spans="1:9" ht="14.4" x14ac:dyDescent="0.3">
      <c r="A715" s="73"/>
      <c r="B715" s="73"/>
      <c r="C715" s="73"/>
      <c r="D715" s="73"/>
      <c r="E715" s="73"/>
      <c r="F715" s="74"/>
      <c r="G715" s="75"/>
      <c r="H715" s="73"/>
      <c r="I715" s="76"/>
    </row>
    <row r="716" spans="1:9" ht="14.4" x14ac:dyDescent="0.3">
      <c r="A716" s="73"/>
      <c r="B716" s="73"/>
      <c r="C716" s="73"/>
      <c r="D716" s="73"/>
      <c r="E716" s="73"/>
      <c r="F716" s="74"/>
      <c r="G716" s="75"/>
      <c r="H716" s="73"/>
      <c r="I716" s="76"/>
    </row>
    <row r="717" spans="1:9" ht="14.4" x14ac:dyDescent="0.3">
      <c r="A717" s="73"/>
      <c r="B717" s="73"/>
      <c r="C717" s="73"/>
      <c r="D717" s="73"/>
      <c r="E717" s="73"/>
      <c r="F717" s="74"/>
      <c r="G717" s="75"/>
      <c r="H717" s="73"/>
      <c r="I717" s="76"/>
    </row>
    <row r="718" spans="1:9" ht="14.4" x14ac:dyDescent="0.3">
      <c r="A718" s="73"/>
      <c r="B718" s="73"/>
      <c r="C718" s="73"/>
      <c r="D718" s="73"/>
      <c r="E718" s="73"/>
      <c r="F718" s="74"/>
      <c r="G718" s="75"/>
      <c r="H718" s="73"/>
      <c r="I718" s="76"/>
    </row>
    <row r="719" spans="1:9" x14ac:dyDescent="0.25">
      <c r="F719" s="50"/>
      <c r="G719" s="72"/>
      <c r="I719" s="71"/>
    </row>
    <row r="720" spans="1:9" x14ac:dyDescent="0.25">
      <c r="F720" s="50"/>
      <c r="G720" s="72"/>
      <c r="I720" s="71"/>
    </row>
    <row r="721" spans="6:9" x14ac:dyDescent="0.25">
      <c r="F721" s="50"/>
      <c r="G721" s="72"/>
      <c r="I721" s="71"/>
    </row>
    <row r="722" spans="6:9" x14ac:dyDescent="0.25">
      <c r="F722" s="50"/>
      <c r="G722" s="72"/>
      <c r="I722" s="71"/>
    </row>
    <row r="723" spans="6:9" x14ac:dyDescent="0.25">
      <c r="F723" s="50"/>
      <c r="G723" s="72"/>
      <c r="I723" s="71"/>
    </row>
    <row r="724" spans="6:9" x14ac:dyDescent="0.25">
      <c r="F724" s="50"/>
      <c r="G724" s="72"/>
      <c r="I724" s="71"/>
    </row>
    <row r="725" spans="6:9" x14ac:dyDescent="0.25">
      <c r="F725" s="50"/>
      <c r="G725" s="72"/>
      <c r="I725" s="71"/>
    </row>
    <row r="726" spans="6:9" x14ac:dyDescent="0.25">
      <c r="F726" s="50"/>
      <c r="G726" s="72"/>
      <c r="I726" s="71"/>
    </row>
    <row r="727" spans="6:9" x14ac:dyDescent="0.25">
      <c r="F727" s="50"/>
      <c r="G727" s="72"/>
      <c r="I727" s="71"/>
    </row>
    <row r="728" spans="6:9" x14ac:dyDescent="0.25">
      <c r="F728" s="50"/>
      <c r="G728" s="72"/>
      <c r="I728" s="71"/>
    </row>
    <row r="729" spans="6:9" x14ac:dyDescent="0.25">
      <c r="F729" s="50"/>
      <c r="G729" s="72"/>
      <c r="I729" s="71"/>
    </row>
    <row r="730" spans="6:9" x14ac:dyDescent="0.25">
      <c r="F730" s="50"/>
      <c r="G730" s="72"/>
      <c r="I730" s="71"/>
    </row>
    <row r="731" spans="6:9" x14ac:dyDescent="0.25">
      <c r="F731" s="50"/>
      <c r="G731" s="72"/>
      <c r="I731" s="7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1295F25A3925409DC6BD1427B91EC1" ma:contentTypeVersion="4" ma:contentTypeDescription="Opprett et nytt dokument." ma:contentTypeScope="" ma:versionID="ebd729f374e6d7358d4ee700e69cf8a9">
  <xsd:schema xmlns:xsd="http://www.w3.org/2001/XMLSchema" xmlns:xs="http://www.w3.org/2001/XMLSchema" xmlns:p="http://schemas.microsoft.com/office/2006/metadata/properties" xmlns:ns2="77af25df-f15f-443e-bdad-975f4d74e868" targetNamespace="http://schemas.microsoft.com/office/2006/metadata/properties" ma:root="true" ma:fieldsID="6987440e2f19a9a4269f9637854b98db" ns2:_="">
    <xsd:import namespace="77af25df-f15f-443e-bdad-975f4d74e8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f25df-f15f-443e-bdad-975f4d74e8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E8111F-BB94-46E2-9389-C7D1BF7758D5}">
  <ds:schemaRefs>
    <ds:schemaRef ds:uri="http://schemas.microsoft.com/office/2006/documentManagement/types"/>
    <ds:schemaRef ds:uri="518d0aaf-8ae0-4c86-a572-2f53306ccbdc"/>
    <ds:schemaRef ds:uri="http://purl.org/dc/elements/1.1/"/>
    <ds:schemaRef ds:uri="http://schemas.microsoft.com/office/2006/metadata/properties"/>
    <ds:schemaRef ds:uri="e88eb04a-a896-48c4-be28-c3fc5cb02070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99D9FC-0F43-405A-9B53-9238848BBC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A76307-08A0-4451-951D-81A186261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af25df-f15f-443e-bdad-975f4d74e8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Start</vt:lpstr>
      <vt:lpstr>Timer</vt:lpstr>
      <vt:lpstr>TrackingTime</vt:lpstr>
      <vt:lpstr>Timer!Utskriftstitler</vt:lpstr>
    </vt:vector>
  </TitlesOfParts>
  <Manager/>
  <Company>Frikirken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Erlend Frøen</dc:creator>
  <cp:keywords/>
  <dc:description/>
  <cp:lastModifiedBy>Erlend Frøen</cp:lastModifiedBy>
  <cp:revision>1</cp:revision>
  <dcterms:created xsi:type="dcterms:W3CDTF">2003-05-21T12:10:51Z</dcterms:created>
  <dcterms:modified xsi:type="dcterms:W3CDTF">2025-12-29T13:15:17Z</dcterms:modified>
  <cp:category/>
  <cp:contentStatus/>
  <cp:version>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0x010100C41295F25A3925409DC6BD1427B91EC1</vt:lpwstr>
  </property>
</Properties>
</file>